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228"/>
  <workbookPr defaultThemeVersion="124226"/>
  <mc:AlternateContent xmlns:mc="http://schemas.openxmlformats.org/markup-compatibility/2006">
    <mc:Choice Requires="x15">
      <x15ac:absPath xmlns:x15ac="http://schemas.microsoft.com/office/spreadsheetml/2010/11/ac" url="C:\Users\pascal.roussel\Desktop\Nouvelle progression\"/>
    </mc:Choice>
  </mc:AlternateContent>
  <xr:revisionPtr revIDLastSave="0" documentId="8_{A6567741-4718-410B-85B1-C4C630D18255}" xr6:coauthVersionLast="34" xr6:coauthVersionMax="34" xr10:uidLastSave="{00000000-0000-0000-0000-000000000000}"/>
  <bookViews>
    <workbookView xWindow="0" yWindow="0" windowWidth="20400" windowHeight="10500" tabRatio="910" firstSheet="2" activeTab="3" xr2:uid="{00000000-000D-0000-FFFF-FFFF00000000}"/>
  </bookViews>
  <sheets>
    <sheet name="Contexte de l'enseignement" sheetId="21" r:id="rId1"/>
    <sheet name="Notice" sheetId="22" r:id="rId2"/>
    <sheet name="Programme" sheetId="17" r:id="rId3"/>
    <sheet name="Problématiques_compétences" sheetId="6" r:id="rId4"/>
    <sheet name="Progression_Cycle4" sheetId="18" r:id="rId5"/>
    <sheet name="Générateur de séquences" sheetId="57" r:id="rId6"/>
    <sheet name="S1" sheetId="24" r:id="rId7"/>
    <sheet name="S2" sheetId="25" r:id="rId8"/>
    <sheet name="S3" sheetId="26" r:id="rId9"/>
    <sheet name="S4" sheetId="63" r:id="rId10"/>
    <sheet name="S5" sheetId="29" r:id="rId11"/>
    <sheet name="S6" sheetId="30" r:id="rId12"/>
    <sheet name="S7" sheetId="31" r:id="rId13"/>
    <sheet name="S8" sheetId="32" r:id="rId14"/>
    <sheet name="S9" sheetId="33" r:id="rId15"/>
    <sheet name="S10" sheetId="34" r:id="rId16"/>
    <sheet name="S11" sheetId="36" r:id="rId17"/>
    <sheet name="S12" sheetId="37" r:id="rId18"/>
    <sheet name="S13" sheetId="41" r:id="rId19"/>
    <sheet name="S14" sheetId="42" r:id="rId20"/>
    <sheet name="S15" sheetId="43" r:id="rId21"/>
    <sheet name="S16" sheetId="44" r:id="rId22"/>
    <sheet name="S17" sheetId="45" r:id="rId23"/>
    <sheet name="S18" sheetId="46" r:id="rId24"/>
    <sheet name="S19" sheetId="50" r:id="rId25"/>
    <sheet name="S20" sheetId="51" r:id="rId26"/>
    <sheet name="S21" sheetId="48" r:id="rId27"/>
    <sheet name="S22" sheetId="52" r:id="rId28"/>
    <sheet name="S23" sheetId="53" r:id="rId29"/>
    <sheet name="S24" sheetId="54" r:id="rId30"/>
    <sheet name="S25" sheetId="55" r:id="rId31"/>
    <sheet name="S26" sheetId="15" r:id="rId32"/>
    <sheet name="S27" sheetId="58" r:id="rId33"/>
    <sheet name="S28" sheetId="59" r:id="rId34"/>
    <sheet name="S29" sheetId="61" r:id="rId35"/>
    <sheet name="S30" sheetId="62" r:id="rId36"/>
  </sheets>
  <externalReferences>
    <externalReference r:id="rId37"/>
    <externalReference r:id="rId38"/>
  </externalReferences>
  <calcPr calcId="179017" iterateDelta="1E-4"/>
</workbook>
</file>

<file path=xl/calcChain.xml><?xml version="1.0" encoding="utf-8"?>
<calcChain xmlns="http://schemas.openxmlformats.org/spreadsheetml/2006/main">
  <c r="N2" i="63" l="1"/>
  <c r="B2" i="63"/>
  <c r="A6" i="63" a="1"/>
  <c r="A4" i="63" a="1"/>
  <c r="A8" i="63" a="1"/>
  <c r="A10" i="63" a="1"/>
  <c r="A10" i="63" l="1"/>
  <c r="A8" i="63"/>
  <c r="A4" i="63"/>
  <c r="A6" i="63"/>
  <c r="N2" i="62"/>
  <c r="B2" i="62"/>
  <c r="N2" i="61"/>
  <c r="B2" i="61"/>
  <c r="N2" i="59"/>
  <c r="N2" i="58"/>
  <c r="N2" i="57"/>
  <c r="B2" i="57"/>
  <c r="A4" i="57" a="1"/>
  <c r="A10" i="61" a="1"/>
  <c r="A8" i="58" a="1"/>
  <c r="A4" i="62" a="1"/>
  <c r="A8" i="61" a="1"/>
  <c r="A6" i="59" a="1"/>
  <c r="A10" i="57" a="1"/>
  <c r="A4" i="59" a="1"/>
  <c r="A6" i="58" a="1"/>
  <c r="A4" i="61" a="1"/>
  <c r="A10" i="58" a="1"/>
  <c r="A6" i="57" a="1"/>
  <c r="A6" i="62" a="1"/>
  <c r="A4" i="58" a="1"/>
  <c r="A10" i="59" a="1"/>
  <c r="A10" i="62" a="1"/>
  <c r="A8" i="59" a="1"/>
  <c r="A8" i="57" a="1"/>
  <c r="A8" i="62" a="1"/>
  <c r="A6" i="61" a="1"/>
  <c r="B6" i="63" l="1"/>
  <c r="B4" i="63"/>
  <c r="B8" i="63"/>
  <c r="B10" i="63"/>
  <c r="A4" i="62"/>
  <c r="A10" i="62"/>
  <c r="A8" i="62"/>
  <c r="A6" i="62"/>
  <c r="A4" i="61"/>
  <c r="A10" i="61"/>
  <c r="A8" i="61"/>
  <c r="A6" i="61"/>
  <c r="A8" i="59"/>
  <c r="A4" i="59"/>
  <c r="A10" i="59"/>
  <c r="A6" i="59"/>
  <c r="A8" i="58"/>
  <c r="A4" i="58"/>
  <c r="A10" i="58"/>
  <c r="A6" i="58"/>
  <c r="A10" i="57"/>
  <c r="A4" i="57"/>
  <c r="A8" i="57"/>
  <c r="A6" i="57"/>
  <c r="K4" i="63" a="1"/>
  <c r="K11" i="63" a="1"/>
  <c r="K7" i="63" a="1"/>
  <c r="K6" i="63" a="1"/>
  <c r="K9" i="63" a="1"/>
  <c r="K5" i="63" a="1"/>
  <c r="K8" i="63" a="1"/>
  <c r="K10" i="63" a="1"/>
  <c r="K10" i="63" l="1"/>
  <c r="K8" i="63"/>
  <c r="K5" i="63"/>
  <c r="K9" i="63"/>
  <c r="K6" i="63"/>
  <c r="K7" i="63"/>
  <c r="K11" i="63"/>
  <c r="K4" i="63"/>
  <c r="B6" i="62"/>
  <c r="B8" i="62"/>
  <c r="B10" i="62"/>
  <c r="B4" i="62"/>
  <c r="B6" i="61"/>
  <c r="B8" i="61"/>
  <c r="B10" i="61"/>
  <c r="B4" i="61"/>
  <c r="B6" i="59"/>
  <c r="B10" i="59"/>
  <c r="B4" i="59"/>
  <c r="B8" i="59"/>
  <c r="B4" i="58"/>
  <c r="B6" i="58"/>
  <c r="B10" i="58"/>
  <c r="B8" i="58"/>
  <c r="B8" i="57"/>
  <c r="B6" i="57"/>
  <c r="B4" i="57"/>
  <c r="B10" i="57"/>
  <c r="K7" i="62" a="1"/>
  <c r="K11" i="58" a="1"/>
  <c r="K6" i="61" a="1"/>
  <c r="K6" i="62" a="1"/>
  <c r="K5" i="57" a="1"/>
  <c r="K5" i="61" a="1"/>
  <c r="K10" i="59" a="1"/>
  <c r="K8" i="58" a="1"/>
  <c r="K6" i="59" a="1"/>
  <c r="K8" i="62" a="1"/>
  <c r="K7" i="57" a="1"/>
  <c r="K5" i="59" a="1"/>
  <c r="K6" i="57" a="1"/>
  <c r="K8" i="57" a="1"/>
  <c r="K10" i="62" a="1"/>
  <c r="K7" i="61" a="1"/>
  <c r="K9" i="62" a="1"/>
  <c r="K4" i="61" a="1"/>
  <c r="K4" i="59" a="1"/>
  <c r="K8" i="61" a="1"/>
  <c r="K6" i="58" a="1"/>
  <c r="K8" i="59" a="1"/>
  <c r="K11" i="62" a="1"/>
  <c r="K9" i="61" a="1"/>
  <c r="K7" i="59" a="1"/>
  <c r="K4" i="58" a="1"/>
  <c r="K9" i="58" a="1"/>
  <c r="K5" i="58" a="1"/>
  <c r="K9" i="59" a="1"/>
  <c r="K11" i="59" a="1"/>
  <c r="K9" i="57" a="1"/>
  <c r="K7" i="58" a="1"/>
  <c r="K11" i="57" a="1"/>
  <c r="K10" i="57" a="1"/>
  <c r="K11" i="61" a="1"/>
  <c r="K4" i="57" a="1"/>
  <c r="K5" i="62" a="1"/>
  <c r="K10" i="58" a="1"/>
  <c r="K4" i="62" a="1"/>
  <c r="K10" i="61" a="1"/>
  <c r="L4" i="63" l="1"/>
  <c r="R4" i="63"/>
  <c r="L9" i="63"/>
  <c r="R9" i="63"/>
  <c r="R11" i="63"/>
  <c r="L11" i="63"/>
  <c r="L5" i="63"/>
  <c r="R5" i="63"/>
  <c r="R7" i="63"/>
  <c r="L7" i="63"/>
  <c r="L8" i="63"/>
  <c r="R8" i="63"/>
  <c r="R6" i="63"/>
  <c r="L6" i="63"/>
  <c r="R10" i="63"/>
  <c r="L10" i="63"/>
  <c r="K4" i="62"/>
  <c r="K5" i="62"/>
  <c r="K6" i="62"/>
  <c r="K11" i="62"/>
  <c r="K9" i="62"/>
  <c r="K10" i="62"/>
  <c r="K8" i="62"/>
  <c r="K7" i="62"/>
  <c r="K10" i="61"/>
  <c r="K11" i="61"/>
  <c r="K9" i="61"/>
  <c r="K5" i="61"/>
  <c r="K6" i="61"/>
  <c r="K4" i="61"/>
  <c r="K8" i="61"/>
  <c r="K7" i="61"/>
  <c r="K8" i="59"/>
  <c r="K5" i="59"/>
  <c r="K4" i="59"/>
  <c r="K9" i="59"/>
  <c r="K10" i="59"/>
  <c r="K6" i="59"/>
  <c r="K11" i="59"/>
  <c r="K7" i="59"/>
  <c r="K8" i="58"/>
  <c r="K11" i="58"/>
  <c r="K7" i="58"/>
  <c r="K9" i="58"/>
  <c r="K4" i="58"/>
  <c r="K10" i="58"/>
  <c r="K6" i="58"/>
  <c r="K5" i="58"/>
  <c r="K11" i="57"/>
  <c r="K5" i="57"/>
  <c r="K10" i="57"/>
  <c r="K8" i="57"/>
  <c r="K7" i="57"/>
  <c r="K4" i="57"/>
  <c r="K6" i="57"/>
  <c r="K9" i="57"/>
  <c r="L8" i="62" l="1"/>
  <c r="R8" i="62"/>
  <c r="R6" i="62"/>
  <c r="L6" i="62"/>
  <c r="R10" i="62"/>
  <c r="L10" i="62"/>
  <c r="R5" i="62"/>
  <c r="L5" i="62"/>
  <c r="R7" i="62"/>
  <c r="L7" i="62"/>
  <c r="R11" i="62"/>
  <c r="L11" i="62"/>
  <c r="L9" i="62"/>
  <c r="R9" i="62"/>
  <c r="R4" i="62"/>
  <c r="L4" i="62"/>
  <c r="R7" i="61"/>
  <c r="L7" i="61"/>
  <c r="L5" i="61"/>
  <c r="R5" i="61"/>
  <c r="L8" i="61"/>
  <c r="R8" i="61"/>
  <c r="L9" i="61"/>
  <c r="R9" i="61"/>
  <c r="R4" i="61"/>
  <c r="L4" i="61"/>
  <c r="R11" i="61"/>
  <c r="L11" i="61"/>
  <c r="R6" i="61"/>
  <c r="L6" i="61"/>
  <c r="R10" i="61"/>
  <c r="L10" i="61"/>
  <c r="L7" i="59"/>
  <c r="R7" i="59"/>
  <c r="L9" i="59"/>
  <c r="R9" i="59"/>
  <c r="R11" i="59"/>
  <c r="L11" i="59"/>
  <c r="L4" i="59"/>
  <c r="R4" i="59"/>
  <c r="R6" i="59"/>
  <c r="L6" i="59"/>
  <c r="L5" i="59"/>
  <c r="R5" i="59"/>
  <c r="R10" i="59"/>
  <c r="L10" i="59"/>
  <c r="L8" i="59"/>
  <c r="R8" i="59"/>
  <c r="R5" i="58"/>
  <c r="L5" i="58"/>
  <c r="L9" i="58"/>
  <c r="R9" i="58"/>
  <c r="R6" i="58"/>
  <c r="L6" i="58"/>
  <c r="R7" i="58"/>
  <c r="L7" i="58"/>
  <c r="R10" i="58"/>
  <c r="L10" i="58"/>
  <c r="R11" i="58"/>
  <c r="L11" i="58"/>
  <c r="R4" i="58"/>
  <c r="L4" i="58"/>
  <c r="L8" i="58"/>
  <c r="R8" i="58"/>
  <c r="L9" i="57"/>
  <c r="R9" i="57"/>
  <c r="L8" i="57"/>
  <c r="R8" i="57"/>
  <c r="R4" i="57"/>
  <c r="L4" i="57"/>
  <c r="R5" i="57"/>
  <c r="L5" i="57"/>
  <c r="R6" i="57"/>
  <c r="L6" i="57"/>
  <c r="R10" i="57"/>
  <c r="L10" i="57"/>
  <c r="R7" i="57"/>
  <c r="L7" i="57"/>
  <c r="R11" i="57"/>
  <c r="L11" i="57"/>
  <c r="N2" i="55" l="1"/>
  <c r="B2" i="55"/>
  <c r="N2" i="54"/>
  <c r="B2" i="54"/>
  <c r="N2" i="53"/>
  <c r="B2" i="53"/>
  <c r="A4" i="53" a="1"/>
  <c r="A10" i="53" a="1"/>
  <c r="A6" i="55" a="1"/>
  <c r="A10" i="55" a="1"/>
  <c r="A6" i="53" a="1"/>
  <c r="A4" i="54" a="1"/>
  <c r="A6" i="54" a="1"/>
  <c r="A8" i="54" a="1"/>
  <c r="A10" i="54" a="1"/>
  <c r="A4" i="55" a="1"/>
  <c r="A8" i="55" a="1"/>
  <c r="A8" i="53" a="1"/>
  <c r="A8" i="55" l="1"/>
  <c r="A4" i="55"/>
  <c r="A10" i="55"/>
  <c r="A6" i="55"/>
  <c r="A4" i="54"/>
  <c r="A8" i="54"/>
  <c r="A10" i="54"/>
  <c r="A6" i="54"/>
  <c r="A4" i="53"/>
  <c r="A8" i="53"/>
  <c r="A10" i="53"/>
  <c r="A6" i="53"/>
  <c r="B8" i="55" l="1"/>
  <c r="B6" i="55"/>
  <c r="B10" i="55"/>
  <c r="B4" i="55"/>
  <c r="B6" i="54"/>
  <c r="B10" i="54"/>
  <c r="B8" i="54"/>
  <c r="B4" i="54"/>
  <c r="B10" i="53"/>
  <c r="B8" i="53"/>
  <c r="B6" i="53"/>
  <c r="B4" i="53"/>
  <c r="K9" i="55" a="1"/>
  <c r="K4" i="53" a="1"/>
  <c r="K4" i="55" a="1"/>
  <c r="K8" i="54" a="1"/>
  <c r="K7" i="54" a="1"/>
  <c r="K7" i="55" a="1"/>
  <c r="K8" i="53" a="1"/>
  <c r="K9" i="54" a="1"/>
  <c r="K5" i="55" a="1"/>
  <c r="K6" i="55" a="1"/>
  <c r="K5" i="54" a="1"/>
  <c r="K8" i="55" a="1"/>
  <c r="K9" i="53" a="1"/>
  <c r="K4" i="54" a="1"/>
  <c r="K5" i="53" a="1"/>
  <c r="K7" i="53" a="1"/>
  <c r="K10" i="53" a="1"/>
  <c r="K6" i="54" a="1"/>
  <c r="K11" i="53" a="1"/>
  <c r="K10" i="54" a="1"/>
  <c r="K10" i="55" a="1"/>
  <c r="K11" i="55" a="1"/>
  <c r="K11" i="54" a="1"/>
  <c r="K6" i="53" a="1"/>
  <c r="K4" i="55" l="1"/>
  <c r="K5" i="55"/>
  <c r="K6" i="55"/>
  <c r="K8" i="55"/>
  <c r="K11" i="55"/>
  <c r="K10" i="55"/>
  <c r="K7" i="55"/>
  <c r="K9" i="55"/>
  <c r="K8" i="54"/>
  <c r="K4" i="54"/>
  <c r="K5" i="54"/>
  <c r="K10" i="54"/>
  <c r="K6" i="54"/>
  <c r="K9" i="54"/>
  <c r="K11" i="54"/>
  <c r="K7" i="54"/>
  <c r="K9" i="53"/>
  <c r="K7" i="53"/>
  <c r="K5" i="53"/>
  <c r="K11" i="53"/>
  <c r="K6" i="53"/>
  <c r="K4" i="53"/>
  <c r="K10" i="53"/>
  <c r="K8" i="53"/>
  <c r="R10" i="55" l="1"/>
  <c r="L10" i="55"/>
  <c r="R5" i="55"/>
  <c r="L5" i="55"/>
  <c r="R11" i="55"/>
  <c r="L11" i="55"/>
  <c r="L4" i="55"/>
  <c r="R4" i="55"/>
  <c r="L9" i="55"/>
  <c r="R9" i="55"/>
  <c r="L8" i="55"/>
  <c r="R8" i="55"/>
  <c r="R7" i="55"/>
  <c r="L7" i="55"/>
  <c r="R6" i="55"/>
  <c r="L6" i="55"/>
  <c r="R7" i="54"/>
  <c r="L7" i="54"/>
  <c r="R5" i="54"/>
  <c r="L5" i="54"/>
  <c r="L9" i="54"/>
  <c r="R9" i="54"/>
  <c r="R4" i="54"/>
  <c r="L4" i="54"/>
  <c r="R10" i="54"/>
  <c r="L10" i="54"/>
  <c r="R11" i="54"/>
  <c r="L11" i="54"/>
  <c r="R6" i="54"/>
  <c r="L6" i="54"/>
  <c r="L8" i="54"/>
  <c r="R8" i="54"/>
  <c r="L8" i="53"/>
  <c r="R8" i="53"/>
  <c r="R11" i="53"/>
  <c r="L11" i="53"/>
  <c r="R10" i="53"/>
  <c r="L10" i="53"/>
  <c r="R5" i="53"/>
  <c r="L5" i="53"/>
  <c r="R4" i="53"/>
  <c r="L4" i="53"/>
  <c r="R7" i="53"/>
  <c r="L7" i="53"/>
  <c r="R6" i="53"/>
  <c r="L6" i="53"/>
  <c r="L9" i="53"/>
  <c r="R9" i="53"/>
  <c r="N2" i="52" l="1"/>
  <c r="B2" i="52"/>
  <c r="A8" i="52" a="1"/>
  <c r="A4" i="52" a="1"/>
  <c r="A10" i="52" a="1"/>
  <c r="A6" i="52" a="1"/>
  <c r="A4" i="52" l="1"/>
  <c r="A8" i="52"/>
  <c r="A10" i="52"/>
  <c r="A6" i="52"/>
  <c r="B10" i="52" l="1"/>
  <c r="B8" i="52"/>
  <c r="B6" i="52"/>
  <c r="B4" i="52"/>
  <c r="K8" i="52" a="1"/>
  <c r="K7" i="52" a="1"/>
  <c r="K5" i="52" a="1"/>
  <c r="K6" i="52" a="1"/>
  <c r="K4" i="52" a="1"/>
  <c r="K11" i="52" a="1"/>
  <c r="K10" i="52" a="1"/>
  <c r="K9" i="52" a="1"/>
  <c r="K4" i="52" l="1"/>
  <c r="K7" i="52"/>
  <c r="K10" i="52"/>
  <c r="K6" i="52"/>
  <c r="K5" i="52"/>
  <c r="K11" i="52"/>
  <c r="K9" i="52"/>
  <c r="K8" i="52"/>
  <c r="L8" i="52" l="1"/>
  <c r="R8" i="52"/>
  <c r="R6" i="52"/>
  <c r="L6" i="52"/>
  <c r="L9" i="52"/>
  <c r="R9" i="52"/>
  <c r="R10" i="52"/>
  <c r="L10" i="52"/>
  <c r="R11" i="52"/>
  <c r="L11" i="52"/>
  <c r="R7" i="52"/>
  <c r="L7" i="52"/>
  <c r="R5" i="52"/>
  <c r="L5" i="52"/>
  <c r="R4" i="52"/>
  <c r="L4" i="52"/>
  <c r="N2" i="51"/>
  <c r="B2" i="51"/>
  <c r="N2" i="50"/>
  <c r="B2" i="50"/>
  <c r="N2" i="48"/>
  <c r="B2" i="48"/>
  <c r="N2" i="46"/>
  <c r="B2" i="46"/>
  <c r="N2" i="45"/>
  <c r="B2" i="45"/>
  <c r="N2" i="44"/>
  <c r="B2" i="44"/>
  <c r="N2" i="43"/>
  <c r="B2" i="43"/>
  <c r="N2" i="42"/>
  <c r="B2" i="42"/>
  <c r="N2" i="41"/>
  <c r="B2" i="41"/>
  <c r="A8" i="51" a="1"/>
  <c r="A4" i="51" a="1"/>
  <c r="A8" i="41" a="1"/>
  <c r="A6" i="45" a="1"/>
  <c r="A4" i="44" a="1"/>
  <c r="A4" i="42" a="1"/>
  <c r="A8" i="44" a="1"/>
  <c r="A10" i="41" a="1"/>
  <c r="A10" i="46" a="1"/>
  <c r="A10" i="44" a="1"/>
  <c r="A6" i="50" a="1"/>
  <c r="A6" i="44" a="1"/>
  <c r="A4" i="45" a="1"/>
  <c r="A8" i="48" a="1"/>
  <c r="A8" i="43" a="1"/>
  <c r="A10" i="48" a="1"/>
  <c r="A8" i="42" a="1"/>
  <c r="A10" i="51" a="1"/>
  <c r="A10" i="43" a="1"/>
  <c r="A8" i="50" a="1"/>
  <c r="A4" i="43" a="1"/>
  <c r="A6" i="41" a="1"/>
  <c r="A10" i="50" a="1"/>
  <c r="A6" i="48" a="1"/>
  <c r="A8" i="46" a="1"/>
  <c r="A4" i="50" a="1"/>
  <c r="A4" i="41" a="1"/>
  <c r="A6" i="43" a="1"/>
  <c r="A10" i="45" a="1"/>
  <c r="A8" i="45" a="1"/>
  <c r="A6" i="42" a="1"/>
  <c r="A4" i="48" a="1"/>
  <c r="A6" i="51" a="1"/>
  <c r="A10" i="42" a="1"/>
  <c r="A4" i="46" a="1"/>
  <c r="A6" i="46" a="1"/>
  <c r="A4" i="51" l="1"/>
  <c r="A10" i="51"/>
  <c r="A8" i="51"/>
  <c r="A6" i="51"/>
  <c r="A4" i="50"/>
  <c r="A10" i="50"/>
  <c r="A8" i="50"/>
  <c r="A6" i="50"/>
  <c r="A4" i="48"/>
  <c r="A8" i="48"/>
  <c r="A10" i="48"/>
  <c r="A6" i="48"/>
  <c r="A8" i="46"/>
  <c r="A4" i="46"/>
  <c r="A10" i="46"/>
  <c r="A6" i="46"/>
  <c r="A6" i="45"/>
  <c r="A4" i="45"/>
  <c r="A10" i="45"/>
  <c r="A8" i="45"/>
  <c r="A8" i="44"/>
  <c r="A6" i="44"/>
  <c r="A4" i="44"/>
  <c r="A10" i="44"/>
  <c r="A8" i="43"/>
  <c r="A4" i="43"/>
  <c r="A10" i="43"/>
  <c r="A6" i="43"/>
  <c r="A4" i="42"/>
  <c r="A10" i="42"/>
  <c r="A8" i="42"/>
  <c r="A6" i="42"/>
  <c r="A4" i="41"/>
  <c r="A10" i="41"/>
  <c r="A8" i="41"/>
  <c r="A6" i="41"/>
  <c r="B6" i="51" l="1"/>
  <c r="B8" i="51"/>
  <c r="B10" i="51"/>
  <c r="B4" i="51"/>
  <c r="B6" i="50"/>
  <c r="B8" i="50"/>
  <c r="B10" i="50"/>
  <c r="B4" i="50"/>
  <c r="B6" i="48"/>
  <c r="B10" i="48"/>
  <c r="B8" i="48"/>
  <c r="B4" i="48"/>
  <c r="B6" i="46"/>
  <c r="B10" i="46"/>
  <c r="B4" i="46"/>
  <c r="B8" i="46"/>
  <c r="B8" i="45"/>
  <c r="B10" i="45"/>
  <c r="B4" i="45"/>
  <c r="B6" i="45"/>
  <c r="B4" i="44"/>
  <c r="B10" i="44"/>
  <c r="B6" i="44"/>
  <c r="B8" i="44"/>
  <c r="B6" i="43"/>
  <c r="B10" i="43"/>
  <c r="B4" i="43"/>
  <c r="B8" i="43"/>
  <c r="B6" i="42"/>
  <c r="B8" i="42"/>
  <c r="B10" i="42"/>
  <c r="B4" i="42"/>
  <c r="B6" i="41"/>
  <c r="B8" i="41"/>
  <c r="B10" i="41"/>
  <c r="B4" i="41"/>
  <c r="K8" i="51" a="1"/>
  <c r="K11" i="43" a="1"/>
  <c r="K11" i="44" a="1"/>
  <c r="K6" i="43" a="1"/>
  <c r="K4" i="50" a="1"/>
  <c r="K11" i="42" a="1"/>
  <c r="K11" i="51" a="1"/>
  <c r="K11" i="45" a="1"/>
  <c r="K9" i="46" a="1"/>
  <c r="K8" i="45" a="1"/>
  <c r="K8" i="48" a="1"/>
  <c r="K5" i="48" a="1"/>
  <c r="K9" i="43" a="1"/>
  <c r="K4" i="48" a="1"/>
  <c r="K8" i="50" a="1"/>
  <c r="K5" i="51" a="1"/>
  <c r="K6" i="51" a="1"/>
  <c r="K9" i="48" a="1"/>
  <c r="K4" i="51" a="1"/>
  <c r="K9" i="50" a="1"/>
  <c r="K8" i="44" a="1"/>
  <c r="K9" i="44" a="1"/>
  <c r="K5" i="42" a="1"/>
  <c r="K6" i="50" a="1"/>
  <c r="K5" i="46" a="1"/>
  <c r="K7" i="42" a="1"/>
  <c r="K6" i="41" a="1"/>
  <c r="K6" i="42" a="1"/>
  <c r="K8" i="41" a="1"/>
  <c r="K10" i="42" a="1"/>
  <c r="K9" i="45" a="1"/>
  <c r="K6" i="44" a="1"/>
  <c r="K5" i="45" a="1"/>
  <c r="K7" i="46" a="1"/>
  <c r="K6" i="46" a="1"/>
  <c r="K4" i="44" a="1"/>
  <c r="K7" i="44" a="1"/>
  <c r="K5" i="50" a="1"/>
  <c r="K4" i="43" a="1"/>
  <c r="K7" i="41" a="1"/>
  <c r="K9" i="42" a="1"/>
  <c r="K10" i="51" a="1"/>
  <c r="K10" i="41" a="1"/>
  <c r="K5" i="43" a="1"/>
  <c r="K10" i="48" a="1"/>
  <c r="K8" i="42" a="1"/>
  <c r="K7" i="45" a="1"/>
  <c r="K6" i="45" a="1"/>
  <c r="K10" i="44" a="1"/>
  <c r="K11" i="41" a="1"/>
  <c r="K11" i="48" a="1"/>
  <c r="K7" i="43" a="1"/>
  <c r="K5" i="41" a="1"/>
  <c r="K9" i="41" a="1"/>
  <c r="K11" i="46" a="1"/>
  <c r="K6" i="48" a="1"/>
  <c r="K10" i="50" a="1"/>
  <c r="K11" i="50" a="1"/>
  <c r="K8" i="46" a="1"/>
  <c r="K7" i="50" a="1"/>
  <c r="K4" i="46" a="1"/>
  <c r="K9" i="51" a="1"/>
  <c r="K7" i="48" a="1"/>
  <c r="K7" i="51" a="1"/>
  <c r="K8" i="43" a="1"/>
  <c r="K4" i="42" a="1"/>
  <c r="K10" i="45" a="1"/>
  <c r="K10" i="46" a="1"/>
  <c r="K4" i="45" a="1"/>
  <c r="K4" i="41" a="1"/>
  <c r="K5" i="44" a="1"/>
  <c r="K10" i="43" a="1"/>
  <c r="K9" i="51" l="1"/>
  <c r="K4" i="51"/>
  <c r="K6" i="51"/>
  <c r="K5" i="51"/>
  <c r="K7" i="51"/>
  <c r="K11" i="51"/>
  <c r="K10" i="51"/>
  <c r="K8" i="51"/>
  <c r="K11" i="50"/>
  <c r="K9" i="50"/>
  <c r="K4" i="50"/>
  <c r="K5" i="50"/>
  <c r="K6" i="50"/>
  <c r="K10" i="50"/>
  <c r="K8" i="50"/>
  <c r="K7" i="50"/>
  <c r="K4" i="48"/>
  <c r="K5" i="48"/>
  <c r="K10" i="48"/>
  <c r="K6" i="48"/>
  <c r="K8" i="48"/>
  <c r="K9" i="48"/>
  <c r="K11" i="48"/>
  <c r="K7" i="48"/>
  <c r="K6" i="46"/>
  <c r="K7" i="46"/>
  <c r="K4" i="46"/>
  <c r="K9" i="46"/>
  <c r="K10" i="46"/>
  <c r="K11" i="46"/>
  <c r="K8" i="46"/>
  <c r="K5" i="46"/>
  <c r="K7" i="45"/>
  <c r="K8" i="45"/>
  <c r="K10" i="45"/>
  <c r="K5" i="45"/>
  <c r="K11" i="45"/>
  <c r="K4" i="45"/>
  <c r="K9" i="45"/>
  <c r="K6" i="45"/>
  <c r="K8" i="44"/>
  <c r="K9" i="44"/>
  <c r="K7" i="44"/>
  <c r="K11" i="44"/>
  <c r="K4" i="44"/>
  <c r="K6" i="44"/>
  <c r="K10" i="44"/>
  <c r="K5" i="44"/>
  <c r="K5" i="43"/>
  <c r="K9" i="43"/>
  <c r="K7" i="43"/>
  <c r="K8" i="43"/>
  <c r="K6" i="43"/>
  <c r="K10" i="43"/>
  <c r="K4" i="43"/>
  <c r="K11" i="43"/>
  <c r="K11" i="42"/>
  <c r="K9" i="42"/>
  <c r="K4" i="42"/>
  <c r="K5" i="42"/>
  <c r="K6" i="42"/>
  <c r="K10" i="42"/>
  <c r="K8" i="42"/>
  <c r="K7" i="42"/>
  <c r="K4" i="41"/>
  <c r="K11" i="41"/>
  <c r="K9" i="41"/>
  <c r="K5" i="41"/>
  <c r="K6" i="41"/>
  <c r="K10" i="41"/>
  <c r="K8" i="41"/>
  <c r="K7" i="41"/>
  <c r="L8" i="51" l="1"/>
  <c r="R8" i="51"/>
  <c r="L5" i="51"/>
  <c r="R5" i="51"/>
  <c r="R10" i="51"/>
  <c r="L10" i="51"/>
  <c r="R11" i="51"/>
  <c r="L11" i="51"/>
  <c r="L4" i="51"/>
  <c r="R4" i="51"/>
  <c r="R6" i="51"/>
  <c r="L6" i="51"/>
  <c r="R7" i="51"/>
  <c r="L7" i="51"/>
  <c r="L9" i="51"/>
  <c r="R9" i="51"/>
  <c r="R7" i="50"/>
  <c r="L7" i="50"/>
  <c r="R4" i="50"/>
  <c r="L4" i="50"/>
  <c r="R10" i="50"/>
  <c r="L10" i="50"/>
  <c r="L9" i="50"/>
  <c r="R9" i="50"/>
  <c r="R5" i="50"/>
  <c r="L5" i="50"/>
  <c r="L8" i="50"/>
  <c r="R8" i="50"/>
  <c r="R6" i="50"/>
  <c r="L6" i="50"/>
  <c r="R11" i="50"/>
  <c r="L11" i="50"/>
  <c r="R7" i="48"/>
  <c r="L7" i="48"/>
  <c r="R11" i="48"/>
  <c r="L11" i="48"/>
  <c r="L9" i="48"/>
  <c r="R9" i="48"/>
  <c r="R5" i="48"/>
  <c r="L5" i="48"/>
  <c r="R6" i="48"/>
  <c r="L6" i="48"/>
  <c r="R10" i="48"/>
  <c r="L10" i="48"/>
  <c r="L8" i="48"/>
  <c r="R8" i="48"/>
  <c r="R4" i="48"/>
  <c r="L4" i="48"/>
  <c r="L5" i="46"/>
  <c r="R5" i="46"/>
  <c r="L9" i="46"/>
  <c r="R9" i="46"/>
  <c r="L8" i="46"/>
  <c r="R8" i="46"/>
  <c r="R11" i="46"/>
  <c r="L11" i="46"/>
  <c r="R7" i="46"/>
  <c r="L7" i="46"/>
  <c r="L4" i="46"/>
  <c r="R4" i="46"/>
  <c r="R10" i="46"/>
  <c r="L10" i="46"/>
  <c r="R6" i="46"/>
  <c r="L6" i="46"/>
  <c r="R6" i="45"/>
  <c r="L6" i="45"/>
  <c r="R5" i="45"/>
  <c r="L5" i="45"/>
  <c r="R9" i="45"/>
  <c r="L9" i="45"/>
  <c r="L10" i="45"/>
  <c r="R10" i="45"/>
  <c r="R4" i="45"/>
  <c r="L4" i="45"/>
  <c r="R8" i="45"/>
  <c r="L8" i="45"/>
  <c r="R11" i="45"/>
  <c r="L11" i="45"/>
  <c r="R7" i="45"/>
  <c r="L7" i="45"/>
  <c r="R6" i="44"/>
  <c r="L6" i="44"/>
  <c r="L5" i="44"/>
  <c r="R5" i="44"/>
  <c r="R11" i="44"/>
  <c r="L11" i="44"/>
  <c r="R10" i="44"/>
  <c r="L10" i="44"/>
  <c r="R7" i="44"/>
  <c r="L7" i="44"/>
  <c r="R9" i="44"/>
  <c r="L9" i="44"/>
  <c r="L4" i="44"/>
  <c r="R4" i="44"/>
  <c r="R8" i="44"/>
  <c r="L8" i="44"/>
  <c r="R11" i="43"/>
  <c r="L11" i="43"/>
  <c r="L8" i="43"/>
  <c r="R8" i="43"/>
  <c r="L4" i="43"/>
  <c r="R4" i="43"/>
  <c r="R7" i="43"/>
  <c r="L7" i="43"/>
  <c r="R10" i="43"/>
  <c r="L10" i="43"/>
  <c r="L9" i="43"/>
  <c r="R9" i="43"/>
  <c r="R6" i="43"/>
  <c r="L6" i="43"/>
  <c r="L5" i="43"/>
  <c r="R5" i="43"/>
  <c r="R7" i="42"/>
  <c r="L7" i="42"/>
  <c r="R5" i="42"/>
  <c r="L5" i="42"/>
  <c r="L8" i="42"/>
  <c r="R8" i="42"/>
  <c r="R4" i="42"/>
  <c r="L4" i="42"/>
  <c r="R10" i="42"/>
  <c r="L10" i="42"/>
  <c r="L9" i="42"/>
  <c r="R9" i="42"/>
  <c r="R6" i="42"/>
  <c r="L6" i="42"/>
  <c r="R11" i="42"/>
  <c r="L11" i="42"/>
  <c r="R7" i="41"/>
  <c r="L7" i="41"/>
  <c r="R5" i="41"/>
  <c r="L5" i="41"/>
  <c r="R10" i="41"/>
  <c r="L10" i="41"/>
  <c r="R11" i="41"/>
  <c r="L11" i="41"/>
  <c r="L8" i="41"/>
  <c r="R8" i="41"/>
  <c r="L9" i="41"/>
  <c r="R9" i="41"/>
  <c r="R6" i="41"/>
  <c r="L6" i="41"/>
  <c r="R4" i="41"/>
  <c r="L4" i="41"/>
  <c r="N2" i="37" l="1"/>
  <c r="B2" i="37"/>
  <c r="N2" i="36"/>
  <c r="B2" i="36"/>
  <c r="N2" i="34"/>
  <c r="B2" i="34"/>
  <c r="N2" i="33"/>
  <c r="B2" i="33"/>
  <c r="N2" i="32"/>
  <c r="B2" i="32"/>
  <c r="N2" i="31"/>
  <c r="B2" i="31"/>
  <c r="N2" i="30"/>
  <c r="B2" i="30"/>
  <c r="A4" i="31" a="1"/>
  <c r="A10" i="30" a="1"/>
  <c r="A10" i="36" a="1"/>
  <c r="A8" i="33" a="1"/>
  <c r="A10" i="34" a="1"/>
  <c r="A8" i="32" a="1"/>
  <c r="A6" i="32" a="1"/>
  <c r="A8" i="31" a="1"/>
  <c r="A4" i="33" a="1"/>
  <c r="A10" i="33" a="1"/>
  <c r="A6" i="36" a="1"/>
  <c r="A6" i="37" a="1"/>
  <c r="A4" i="34" a="1"/>
  <c r="A8" i="36" a="1"/>
  <c r="A8" i="37" a="1"/>
  <c r="A4" i="37" a="1"/>
  <c r="A4" i="32" a="1"/>
  <c r="A6" i="30" a="1"/>
  <c r="A10" i="31" a="1"/>
  <c r="A4" i="30" a="1"/>
  <c r="A8" i="34" a="1"/>
  <c r="A10" i="32" a="1"/>
  <c r="A10" i="37" a="1"/>
  <c r="A6" i="33" a="1"/>
  <c r="A6" i="34" a="1"/>
  <c r="A8" i="30" a="1"/>
  <c r="A4" i="36" a="1"/>
  <c r="A6" i="31" a="1"/>
  <c r="A8" i="37" l="1"/>
  <c r="A4" i="37"/>
  <c r="A10" i="37"/>
  <c r="A6" i="37"/>
  <c r="A10" i="36"/>
  <c r="A4" i="36"/>
  <c r="A8" i="36"/>
  <c r="A6" i="36"/>
  <c r="A4" i="34"/>
  <c r="A10" i="34"/>
  <c r="A8" i="34"/>
  <c r="A6" i="34"/>
  <c r="A4" i="33"/>
  <c r="A8" i="33"/>
  <c r="A10" i="33"/>
  <c r="A6" i="33"/>
  <c r="A8" i="32"/>
  <c r="A4" i="32"/>
  <c r="A10" i="32"/>
  <c r="A6" i="32"/>
  <c r="A8" i="31"/>
  <c r="A4" i="31"/>
  <c r="A10" i="31"/>
  <c r="A6" i="31"/>
  <c r="A8" i="30"/>
  <c r="A4" i="30"/>
  <c r="A10" i="30"/>
  <c r="A6" i="30"/>
  <c r="B8" i="37" l="1"/>
  <c r="B6" i="37"/>
  <c r="B10" i="37"/>
  <c r="B4" i="37"/>
  <c r="B6" i="36"/>
  <c r="B8" i="36"/>
  <c r="B4" i="36"/>
  <c r="B10" i="36"/>
  <c r="B6" i="34"/>
  <c r="B8" i="34"/>
  <c r="B10" i="34"/>
  <c r="B4" i="34"/>
  <c r="B6" i="33"/>
  <c r="B10" i="33"/>
  <c r="B8" i="33"/>
  <c r="B4" i="33"/>
  <c r="B6" i="32"/>
  <c r="B10" i="32"/>
  <c r="B4" i="32"/>
  <c r="B8" i="32"/>
  <c r="B8" i="31"/>
  <c r="B6" i="31"/>
  <c r="B10" i="31"/>
  <c r="B4" i="31"/>
  <c r="B8" i="30"/>
  <c r="B6" i="30"/>
  <c r="B10" i="30"/>
  <c r="B4" i="30"/>
  <c r="K11" i="37" a="1"/>
  <c r="K9" i="34" a="1"/>
  <c r="K5" i="31" a="1"/>
  <c r="K9" i="32" a="1"/>
  <c r="K5" i="34" a="1"/>
  <c r="K8" i="34" a="1"/>
  <c r="K8" i="37" a="1"/>
  <c r="K4" i="36" a="1"/>
  <c r="K5" i="33" a="1"/>
  <c r="K6" i="32" a="1"/>
  <c r="K6" i="36" a="1"/>
  <c r="K4" i="30" a="1"/>
  <c r="K7" i="34" a="1"/>
  <c r="K11" i="31" a="1"/>
  <c r="K7" i="30" a="1"/>
  <c r="K10" i="37" a="1"/>
  <c r="K6" i="33" a="1"/>
  <c r="K7" i="33" a="1"/>
  <c r="K4" i="31" a="1"/>
  <c r="K11" i="34" a="1"/>
  <c r="K10" i="31" a="1"/>
  <c r="K5" i="37" a="1"/>
  <c r="K11" i="33" a="1"/>
  <c r="K11" i="32" a="1"/>
  <c r="K8" i="30" a="1"/>
  <c r="K9" i="30" a="1"/>
  <c r="K4" i="37" a="1"/>
  <c r="K8" i="32" a="1"/>
  <c r="K9" i="36" a="1"/>
  <c r="K4" i="32" a="1"/>
  <c r="K4" i="34" a="1"/>
  <c r="K6" i="34" a="1"/>
  <c r="K10" i="33" a="1"/>
  <c r="K8" i="31" a="1"/>
  <c r="K8" i="33" a="1"/>
  <c r="K5" i="36" a="1"/>
  <c r="K8" i="36" a="1"/>
  <c r="K7" i="31" a="1"/>
  <c r="K11" i="30" a="1"/>
  <c r="K10" i="36" a="1"/>
  <c r="K9" i="37" a="1"/>
  <c r="K11" i="36" a="1"/>
  <c r="K7" i="36" a="1"/>
  <c r="K9" i="33" a="1"/>
  <c r="K9" i="31" a="1"/>
  <c r="K6" i="37" a="1"/>
  <c r="K6" i="31" a="1"/>
  <c r="K10" i="30" a="1"/>
  <c r="K4" i="33" a="1"/>
  <c r="K10" i="34" a="1"/>
  <c r="K7" i="32" a="1"/>
  <c r="K10" i="32" a="1"/>
  <c r="K6" i="30" a="1"/>
  <c r="K5" i="32" a="1"/>
  <c r="K5" i="30" a="1"/>
  <c r="K7" i="37" a="1"/>
  <c r="K5" i="37" l="1"/>
  <c r="K6" i="37"/>
  <c r="K9" i="37"/>
  <c r="K11" i="37"/>
  <c r="K4" i="37"/>
  <c r="K10" i="37"/>
  <c r="K7" i="37"/>
  <c r="K8" i="37"/>
  <c r="K4" i="36"/>
  <c r="K11" i="36"/>
  <c r="K8" i="36"/>
  <c r="K6" i="36"/>
  <c r="K10" i="36"/>
  <c r="K5" i="36"/>
  <c r="K9" i="36"/>
  <c r="K7" i="36"/>
  <c r="K9" i="34"/>
  <c r="K4" i="34"/>
  <c r="K11" i="34"/>
  <c r="K5" i="34"/>
  <c r="K6" i="34"/>
  <c r="K10" i="34"/>
  <c r="K8" i="34"/>
  <c r="K7" i="34"/>
  <c r="K4" i="33"/>
  <c r="K5" i="33"/>
  <c r="K10" i="33"/>
  <c r="K6" i="33"/>
  <c r="K8" i="33"/>
  <c r="K9" i="33"/>
  <c r="K11" i="33"/>
  <c r="K7" i="33"/>
  <c r="K8" i="32"/>
  <c r="K9" i="32"/>
  <c r="K10" i="32"/>
  <c r="K4" i="32"/>
  <c r="K5" i="32"/>
  <c r="K6" i="32"/>
  <c r="K11" i="32"/>
  <c r="K7" i="32"/>
  <c r="K4" i="31"/>
  <c r="K11" i="31"/>
  <c r="K5" i="31"/>
  <c r="K8" i="31"/>
  <c r="K7" i="31"/>
  <c r="K10" i="31"/>
  <c r="K6" i="31"/>
  <c r="K9" i="31"/>
  <c r="K7" i="30"/>
  <c r="K5" i="30"/>
  <c r="K11" i="30"/>
  <c r="K4" i="30"/>
  <c r="K8" i="30"/>
  <c r="K10" i="30"/>
  <c r="K6" i="30"/>
  <c r="K9" i="30"/>
  <c r="R4" i="37" l="1"/>
  <c r="L4" i="37"/>
  <c r="R11" i="37"/>
  <c r="L11" i="37"/>
  <c r="R7" i="37"/>
  <c r="L7" i="37"/>
  <c r="L9" i="37"/>
  <c r="R9" i="37"/>
  <c r="L5" i="37"/>
  <c r="R5" i="37"/>
  <c r="L8" i="37"/>
  <c r="R8" i="37"/>
  <c r="R10" i="37"/>
  <c r="L10" i="37"/>
  <c r="R6" i="37"/>
  <c r="L6" i="37"/>
  <c r="L7" i="36"/>
  <c r="R7" i="36"/>
  <c r="L6" i="36"/>
  <c r="R6" i="36"/>
  <c r="L9" i="36"/>
  <c r="R9" i="36"/>
  <c r="L8" i="36"/>
  <c r="R8" i="36"/>
  <c r="R5" i="36"/>
  <c r="L5" i="36"/>
  <c r="R11" i="36"/>
  <c r="L11" i="36"/>
  <c r="R10" i="36"/>
  <c r="L10" i="36"/>
  <c r="R4" i="36"/>
  <c r="L4" i="36"/>
  <c r="R10" i="34"/>
  <c r="L10" i="34"/>
  <c r="R4" i="34"/>
  <c r="L4" i="34"/>
  <c r="R6" i="34"/>
  <c r="L6" i="34"/>
  <c r="L9" i="34"/>
  <c r="R9" i="34"/>
  <c r="R7" i="34"/>
  <c r="L7" i="34"/>
  <c r="R5" i="34"/>
  <c r="L5" i="34"/>
  <c r="L8" i="34"/>
  <c r="R8" i="34"/>
  <c r="R11" i="34"/>
  <c r="L11" i="34"/>
  <c r="R6" i="33"/>
  <c r="L6" i="33"/>
  <c r="R11" i="33"/>
  <c r="L11" i="33"/>
  <c r="R10" i="33"/>
  <c r="L10" i="33"/>
  <c r="L9" i="33"/>
  <c r="R9" i="33"/>
  <c r="R5" i="33"/>
  <c r="L5" i="33"/>
  <c r="L7" i="33"/>
  <c r="R7" i="33"/>
  <c r="L8" i="33"/>
  <c r="R8" i="33"/>
  <c r="R4" i="33"/>
  <c r="L4" i="33"/>
  <c r="R6" i="32"/>
  <c r="L6" i="32"/>
  <c r="L9" i="32"/>
  <c r="R9" i="32"/>
  <c r="R7" i="32"/>
  <c r="L7" i="32"/>
  <c r="R4" i="32"/>
  <c r="L4" i="32"/>
  <c r="R11" i="32"/>
  <c r="L11" i="32"/>
  <c r="R10" i="32"/>
  <c r="L10" i="32"/>
  <c r="R5" i="32"/>
  <c r="L5" i="32"/>
  <c r="L8" i="32"/>
  <c r="R8" i="32"/>
  <c r="L9" i="31"/>
  <c r="R9" i="31"/>
  <c r="L8" i="31"/>
  <c r="R8" i="31"/>
  <c r="R6" i="31"/>
  <c r="L6" i="31"/>
  <c r="R5" i="31"/>
  <c r="L5" i="31"/>
  <c r="R10" i="31"/>
  <c r="L10" i="31"/>
  <c r="R11" i="31"/>
  <c r="L11" i="31"/>
  <c r="R7" i="31"/>
  <c r="L7" i="31"/>
  <c r="R4" i="31"/>
  <c r="L4" i="31"/>
  <c r="L9" i="30"/>
  <c r="R9" i="30"/>
  <c r="R4" i="30"/>
  <c r="L4" i="30"/>
  <c r="R6" i="30"/>
  <c r="L6" i="30"/>
  <c r="R11" i="30"/>
  <c r="L11" i="30"/>
  <c r="R10" i="30"/>
  <c r="L10" i="30"/>
  <c r="L5" i="30"/>
  <c r="R5" i="30"/>
  <c r="L8" i="30"/>
  <c r="R8" i="30"/>
  <c r="R7" i="30"/>
  <c r="L7" i="30"/>
  <c r="N2" i="29" l="1"/>
  <c r="B2" i="29"/>
  <c r="A8" i="29" a="1"/>
  <c r="A10" i="29" a="1"/>
  <c r="A4" i="29" a="1"/>
  <c r="A6" i="29" a="1"/>
  <c r="A4" i="29" l="1"/>
  <c r="A10" i="29"/>
  <c r="A8" i="29"/>
  <c r="A6" i="29"/>
  <c r="N2" i="26"/>
  <c r="B2" i="26"/>
  <c r="A4" i="26" a="1"/>
  <c r="A6" i="26" a="1"/>
  <c r="A10" i="26" a="1"/>
  <c r="A8" i="26" a="1"/>
  <c r="B6" i="29" l="1"/>
  <c r="B8" i="29"/>
  <c r="B10" i="29"/>
  <c r="B4" i="29"/>
  <c r="A4" i="26"/>
  <c r="A10" i="26"/>
  <c r="A8" i="26"/>
  <c r="A6" i="26"/>
  <c r="N2" i="25"/>
  <c r="B2" i="25"/>
  <c r="E12" i="6"/>
  <c r="N2" i="24"/>
  <c r="B2" i="24"/>
  <c r="K9" i="29" a="1"/>
  <c r="A10" i="24" a="1"/>
  <c r="A4" i="24" a="1"/>
  <c r="K4" i="29" a="1"/>
  <c r="K11" i="29" a="1"/>
  <c r="A6" i="25" a="1"/>
  <c r="K10" i="29" a="1"/>
  <c r="A6" i="24" a="1"/>
  <c r="K5" i="29" a="1"/>
  <c r="K7" i="29" a="1"/>
  <c r="K8" i="29" a="1"/>
  <c r="A4" i="25" a="1"/>
  <c r="A10" i="25" a="1"/>
  <c r="A8" i="24" a="1"/>
  <c r="K6" i="29" a="1"/>
  <c r="A8" i="25" a="1"/>
  <c r="K11" i="29" l="1"/>
  <c r="K9" i="29"/>
  <c r="K4" i="29"/>
  <c r="K5" i="29"/>
  <c r="K6" i="29"/>
  <c r="K10" i="29"/>
  <c r="K8" i="29"/>
  <c r="K7" i="29"/>
  <c r="B6" i="26"/>
  <c r="B8" i="26"/>
  <c r="B10" i="26"/>
  <c r="B4" i="26"/>
  <c r="A4" i="25"/>
  <c r="A10" i="25"/>
  <c r="A8" i="25"/>
  <c r="A6" i="25"/>
  <c r="A8" i="24"/>
  <c r="A4" i="24"/>
  <c r="A10" i="24"/>
  <c r="A6" i="24"/>
  <c r="K4" i="26" a="1"/>
  <c r="K7" i="26" a="1"/>
  <c r="K10" i="26" a="1"/>
  <c r="K9" i="26" a="1"/>
  <c r="K8" i="26" a="1"/>
  <c r="K6" i="26" a="1"/>
  <c r="K5" i="26" a="1"/>
  <c r="K11" i="26" a="1"/>
  <c r="R10" i="29" l="1"/>
  <c r="L10" i="29"/>
  <c r="L9" i="29"/>
  <c r="R9" i="29"/>
  <c r="R6" i="29"/>
  <c r="L6" i="29"/>
  <c r="R11" i="29"/>
  <c r="L11" i="29"/>
  <c r="R7" i="29"/>
  <c r="L7" i="29"/>
  <c r="R5" i="29"/>
  <c r="L5" i="29"/>
  <c r="L8" i="29"/>
  <c r="R8" i="29"/>
  <c r="R4" i="29"/>
  <c r="L4" i="29"/>
  <c r="K5" i="26"/>
  <c r="K11" i="26"/>
  <c r="K9" i="26"/>
  <c r="K4" i="26"/>
  <c r="K6" i="26"/>
  <c r="K7" i="26"/>
  <c r="K10" i="26"/>
  <c r="K8" i="26"/>
  <c r="B6" i="25"/>
  <c r="B8" i="25"/>
  <c r="B10" i="25"/>
  <c r="B4" i="25"/>
  <c r="B10" i="24"/>
  <c r="B4" i="24"/>
  <c r="B8" i="24"/>
  <c r="B6" i="24"/>
  <c r="K11" i="24" a="1"/>
  <c r="K10" i="24" a="1"/>
  <c r="K7" i="24" a="1"/>
  <c r="K6" i="25" a="1"/>
  <c r="K9" i="24" a="1"/>
  <c r="K7" i="25" a="1"/>
  <c r="K8" i="25" a="1"/>
  <c r="K6" i="24" a="1"/>
  <c r="K9" i="25" a="1"/>
  <c r="K5" i="25" a="1"/>
  <c r="K4" i="25" a="1"/>
  <c r="K5" i="24" a="1"/>
  <c r="K4" i="24" a="1"/>
  <c r="K8" i="24" a="1"/>
  <c r="K11" i="25" a="1"/>
  <c r="K10" i="25" a="1"/>
  <c r="R6" i="26" l="1"/>
  <c r="L6" i="26"/>
  <c r="L5" i="26"/>
  <c r="R5" i="26"/>
  <c r="L8" i="26"/>
  <c r="R8" i="26"/>
  <c r="L4" i="26"/>
  <c r="R4" i="26"/>
  <c r="R10" i="26"/>
  <c r="L10" i="26"/>
  <c r="L9" i="26"/>
  <c r="R9" i="26"/>
  <c r="R7" i="26"/>
  <c r="L7" i="26"/>
  <c r="R11" i="26"/>
  <c r="L11" i="26"/>
  <c r="K11" i="25"/>
  <c r="K9" i="25"/>
  <c r="K4" i="25"/>
  <c r="K6" i="25"/>
  <c r="K5" i="25"/>
  <c r="K7" i="25"/>
  <c r="K10" i="25"/>
  <c r="K8" i="25"/>
  <c r="K7" i="24"/>
  <c r="K11" i="24"/>
  <c r="K4" i="24"/>
  <c r="K8" i="24"/>
  <c r="K5" i="24"/>
  <c r="K6" i="24"/>
  <c r="K9" i="24"/>
  <c r="K10" i="24"/>
  <c r="L8" i="25" l="1"/>
  <c r="R8" i="25"/>
  <c r="R6" i="25"/>
  <c r="L6" i="25"/>
  <c r="R10" i="25"/>
  <c r="L10" i="25"/>
  <c r="L4" i="25"/>
  <c r="R4" i="25"/>
  <c r="R7" i="25"/>
  <c r="L7" i="25"/>
  <c r="L9" i="25"/>
  <c r="R9" i="25"/>
  <c r="L5" i="25"/>
  <c r="R5" i="25"/>
  <c r="R11" i="25"/>
  <c r="L11" i="25"/>
  <c r="R5" i="24"/>
  <c r="L5" i="24"/>
  <c r="R7" i="24"/>
  <c r="L7" i="24"/>
  <c r="R10" i="24"/>
  <c r="L10" i="24"/>
  <c r="L8" i="24"/>
  <c r="R8" i="24"/>
  <c r="L9" i="24"/>
  <c r="R9" i="24"/>
  <c r="R4" i="24"/>
  <c r="L4" i="24"/>
  <c r="R6" i="24"/>
  <c r="L6" i="24"/>
  <c r="R11" i="24"/>
  <c r="L11" i="24"/>
  <c r="I2" i="18" l="1"/>
  <c r="J2" i="18"/>
  <c r="K2" i="18"/>
  <c r="L2" i="18"/>
  <c r="M2" i="18"/>
  <c r="Q2" i="18"/>
  <c r="R2" i="18"/>
  <c r="S2" i="18"/>
  <c r="T2" i="18"/>
  <c r="X2" i="18"/>
  <c r="AA2" i="18"/>
  <c r="AB2" i="18"/>
  <c r="AC2" i="18"/>
  <c r="AD2" i="18"/>
  <c r="AE2" i="18"/>
  <c r="AF2" i="18"/>
  <c r="AG2" i="18"/>
  <c r="AH2" i="18"/>
  <c r="AI2" i="18"/>
  <c r="AJ2" i="18"/>
  <c r="AK2" i="18"/>
  <c r="AL2" i="18"/>
  <c r="E5" i="6"/>
  <c r="E6" i="6"/>
  <c r="E7" i="6"/>
  <c r="E8" i="6"/>
  <c r="E9" i="6"/>
  <c r="E10" i="6"/>
  <c r="E11"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4" i="6"/>
  <c r="J47" i="18"/>
  <c r="K47" i="18"/>
  <c r="L47" i="18"/>
  <c r="M47" i="18"/>
  <c r="N47" i="18"/>
  <c r="O47" i="18"/>
  <c r="P47" i="18"/>
  <c r="Q47" i="18"/>
  <c r="R47" i="18"/>
  <c r="S47" i="18"/>
  <c r="T47" i="18"/>
  <c r="U47" i="18"/>
  <c r="V47" i="18"/>
  <c r="W47" i="18"/>
  <c r="X47" i="18"/>
  <c r="Y47" i="18"/>
  <c r="Z47" i="18"/>
  <c r="AA47" i="18"/>
  <c r="AB47" i="18"/>
  <c r="AC47" i="18"/>
  <c r="AD47" i="18"/>
  <c r="AE47" i="18"/>
  <c r="AF47" i="18"/>
  <c r="AG47" i="18"/>
  <c r="AH47" i="18"/>
  <c r="AI47" i="18"/>
  <c r="AJ47" i="18"/>
  <c r="AK47" i="18"/>
  <c r="J46" i="18"/>
  <c r="K46" i="18"/>
  <c r="L46" i="18"/>
  <c r="M46" i="18"/>
  <c r="N46" i="18"/>
  <c r="O46" i="18"/>
  <c r="P46" i="18"/>
  <c r="Q46" i="18"/>
  <c r="R46" i="18"/>
  <c r="S46" i="18"/>
  <c r="T46" i="18"/>
  <c r="U46" i="18"/>
  <c r="V46" i="18"/>
  <c r="W46" i="18"/>
  <c r="X46" i="18"/>
  <c r="Y46" i="18"/>
  <c r="Z46" i="18"/>
  <c r="AA46" i="18"/>
  <c r="AB46" i="18"/>
  <c r="AC46" i="18"/>
  <c r="AD46" i="18"/>
  <c r="AE46" i="18"/>
  <c r="AF46" i="18"/>
  <c r="AG46" i="18"/>
  <c r="AH46" i="18"/>
  <c r="AI46" i="18"/>
  <c r="AJ46" i="18"/>
  <c r="AK46" i="18"/>
  <c r="AL46" i="18"/>
  <c r="J45" i="18"/>
  <c r="K45" i="18"/>
  <c r="L45" i="18"/>
  <c r="M45" i="18"/>
  <c r="N45" i="18"/>
  <c r="O45" i="18"/>
  <c r="P45" i="18"/>
  <c r="Q45" i="18"/>
  <c r="R45" i="18"/>
  <c r="S45" i="18"/>
  <c r="T45" i="18"/>
  <c r="U45" i="18"/>
  <c r="V45" i="18"/>
  <c r="W45" i="18"/>
  <c r="X45" i="18"/>
  <c r="Y45" i="18"/>
  <c r="Z45" i="18"/>
  <c r="AA45" i="18"/>
  <c r="AB45" i="18"/>
  <c r="AC45" i="18"/>
  <c r="AD45" i="18"/>
  <c r="AE45" i="18"/>
  <c r="AF45" i="18"/>
  <c r="AG45" i="18"/>
  <c r="AH45" i="18"/>
  <c r="AI45" i="18"/>
  <c r="AJ45" i="18"/>
  <c r="AK45" i="18"/>
  <c r="AL45" i="18"/>
  <c r="J44" i="18"/>
  <c r="K44" i="18"/>
  <c r="L44" i="18"/>
  <c r="M44" i="18"/>
  <c r="N44" i="18"/>
  <c r="O44" i="18"/>
  <c r="P44" i="18"/>
  <c r="Q44" i="18"/>
  <c r="R44" i="18"/>
  <c r="S44" i="18"/>
  <c r="T44" i="18"/>
  <c r="U44" i="18"/>
  <c r="V44" i="18"/>
  <c r="W44" i="18"/>
  <c r="X44" i="18"/>
  <c r="Y44" i="18"/>
  <c r="Z44" i="18"/>
  <c r="AA44" i="18"/>
  <c r="AB44" i="18"/>
  <c r="AC44" i="18"/>
  <c r="AD44" i="18"/>
  <c r="AE44" i="18"/>
  <c r="AF44" i="18"/>
  <c r="AG44" i="18"/>
  <c r="AH44" i="18"/>
  <c r="AI44" i="18"/>
  <c r="AJ44" i="18"/>
  <c r="AK44" i="18"/>
  <c r="AL44" i="18"/>
  <c r="J43" i="18"/>
  <c r="K43" i="18"/>
  <c r="L43" i="18"/>
  <c r="M43" i="18"/>
  <c r="N43" i="18"/>
  <c r="O43" i="18"/>
  <c r="P43" i="18"/>
  <c r="Q43" i="18"/>
  <c r="R43" i="18"/>
  <c r="S43" i="18"/>
  <c r="T43" i="18"/>
  <c r="U43" i="18"/>
  <c r="V43" i="18"/>
  <c r="W43" i="18"/>
  <c r="X43" i="18"/>
  <c r="Y43" i="18"/>
  <c r="Z43" i="18"/>
  <c r="AA43" i="18"/>
  <c r="AB43" i="18"/>
  <c r="AC43" i="18"/>
  <c r="AD43" i="18"/>
  <c r="AE43" i="18"/>
  <c r="AF43" i="18"/>
  <c r="AG43" i="18"/>
  <c r="AH43" i="18"/>
  <c r="AI43" i="18"/>
  <c r="AJ43" i="18"/>
  <c r="AK43" i="18"/>
  <c r="AL43" i="18"/>
  <c r="J42" i="18"/>
  <c r="K42" i="18"/>
  <c r="L42" i="18"/>
  <c r="M42" i="18"/>
  <c r="N42" i="18"/>
  <c r="O42" i="18"/>
  <c r="P42" i="18"/>
  <c r="Q42" i="18"/>
  <c r="R42" i="18"/>
  <c r="S42" i="18"/>
  <c r="T42" i="18"/>
  <c r="U42" i="18"/>
  <c r="V42" i="18"/>
  <c r="W42" i="18"/>
  <c r="X42" i="18"/>
  <c r="Y42" i="18"/>
  <c r="Z42" i="18"/>
  <c r="AA42" i="18"/>
  <c r="AB42" i="18"/>
  <c r="AC42" i="18"/>
  <c r="AD42" i="18"/>
  <c r="AE42" i="18"/>
  <c r="AF42" i="18"/>
  <c r="AG42" i="18"/>
  <c r="AH42" i="18"/>
  <c r="AI42" i="18"/>
  <c r="AJ42" i="18"/>
  <c r="AK42" i="18"/>
  <c r="AL42" i="18"/>
  <c r="I47" i="18"/>
  <c r="I46" i="18"/>
  <c r="I45" i="18"/>
  <c r="I44" i="18"/>
  <c r="I43" i="18"/>
  <c r="I42" i="18"/>
  <c r="N2" i="15"/>
  <c r="J40" i="18"/>
  <c r="K40" i="18"/>
  <c r="L40" i="18"/>
  <c r="M40" i="18"/>
  <c r="N40" i="18"/>
  <c r="O40" i="18"/>
  <c r="P40" i="18"/>
  <c r="Q40" i="18"/>
  <c r="R40" i="18"/>
  <c r="S40" i="18"/>
  <c r="T40" i="18"/>
  <c r="U40" i="18"/>
  <c r="V40" i="18"/>
  <c r="W40" i="18"/>
  <c r="X40" i="18"/>
  <c r="Y40" i="18"/>
  <c r="Z40" i="18"/>
  <c r="AA40" i="18"/>
  <c r="AB40" i="18"/>
  <c r="AC40" i="18"/>
  <c r="AD40" i="18"/>
  <c r="AE40" i="18"/>
  <c r="AF40" i="18"/>
  <c r="AG40" i="18"/>
  <c r="AH40" i="18"/>
  <c r="AI40" i="18"/>
  <c r="AJ40" i="18"/>
  <c r="AK40" i="18"/>
  <c r="AL40" i="18"/>
  <c r="J39" i="18"/>
  <c r="K39" i="18"/>
  <c r="L39" i="18"/>
  <c r="M39" i="18"/>
  <c r="N39" i="18"/>
  <c r="O39" i="18"/>
  <c r="P39" i="18"/>
  <c r="Q39" i="18"/>
  <c r="R39" i="18"/>
  <c r="S39" i="18"/>
  <c r="T39" i="18"/>
  <c r="U39" i="18"/>
  <c r="V39" i="18"/>
  <c r="W39" i="18"/>
  <c r="X39" i="18"/>
  <c r="Y39" i="18"/>
  <c r="Z39" i="18"/>
  <c r="AA39" i="18"/>
  <c r="AB39" i="18"/>
  <c r="AC39" i="18"/>
  <c r="AD39" i="18"/>
  <c r="AE39" i="18"/>
  <c r="AF39" i="18"/>
  <c r="AG39" i="18"/>
  <c r="AH39" i="18"/>
  <c r="AI39" i="18"/>
  <c r="AJ39" i="18"/>
  <c r="AK39" i="18"/>
  <c r="AL39" i="18"/>
  <c r="I40" i="18"/>
  <c r="I39" i="18"/>
  <c r="J37" i="18"/>
  <c r="K37" i="18"/>
  <c r="L37" i="18"/>
  <c r="M37" i="18"/>
  <c r="N37" i="18"/>
  <c r="O37" i="18"/>
  <c r="P37" i="18"/>
  <c r="Q37" i="18"/>
  <c r="R37" i="18"/>
  <c r="S37" i="18"/>
  <c r="T37" i="18"/>
  <c r="U37" i="18"/>
  <c r="V37" i="18"/>
  <c r="W37" i="18"/>
  <c r="X37" i="18"/>
  <c r="Y37" i="18"/>
  <c r="Z37" i="18"/>
  <c r="AA37" i="18"/>
  <c r="AB37" i="18"/>
  <c r="AC37" i="18"/>
  <c r="AD37" i="18"/>
  <c r="AE37" i="18"/>
  <c r="AF37" i="18"/>
  <c r="AG37" i="18"/>
  <c r="AH37" i="18"/>
  <c r="AI37" i="18"/>
  <c r="AJ37" i="18"/>
  <c r="AK37" i="18"/>
  <c r="AL37" i="18"/>
  <c r="J36" i="18"/>
  <c r="K36" i="18"/>
  <c r="L36" i="18"/>
  <c r="M36" i="18"/>
  <c r="N36" i="18"/>
  <c r="O36" i="18"/>
  <c r="P36" i="18"/>
  <c r="Q36" i="18"/>
  <c r="R36" i="18"/>
  <c r="S36" i="18"/>
  <c r="T36" i="18"/>
  <c r="U36" i="18"/>
  <c r="V36" i="18"/>
  <c r="W36" i="18"/>
  <c r="X36" i="18"/>
  <c r="Y36" i="18"/>
  <c r="Z36" i="18"/>
  <c r="AA36" i="18"/>
  <c r="AB36" i="18"/>
  <c r="AC36" i="18"/>
  <c r="AD36" i="18"/>
  <c r="AE36" i="18"/>
  <c r="AF36" i="18"/>
  <c r="AG36" i="18"/>
  <c r="AH36" i="18"/>
  <c r="AI36" i="18"/>
  <c r="AJ36" i="18"/>
  <c r="AK36" i="18"/>
  <c r="AL36" i="18"/>
  <c r="J35" i="18"/>
  <c r="K35" i="18"/>
  <c r="L35" i="18"/>
  <c r="M35" i="18"/>
  <c r="N35" i="18"/>
  <c r="O35" i="18"/>
  <c r="P35" i="18"/>
  <c r="Q35" i="18"/>
  <c r="R35" i="18"/>
  <c r="S35" i="18"/>
  <c r="T35" i="18"/>
  <c r="U35" i="18"/>
  <c r="V35" i="18"/>
  <c r="W35" i="18"/>
  <c r="X35" i="18"/>
  <c r="Y35" i="18"/>
  <c r="Z35" i="18"/>
  <c r="AA35" i="18"/>
  <c r="AB35" i="18"/>
  <c r="AC35" i="18"/>
  <c r="AD35" i="18"/>
  <c r="AE35" i="18"/>
  <c r="AF35" i="18"/>
  <c r="AG35" i="18"/>
  <c r="AH35" i="18"/>
  <c r="AI35" i="18"/>
  <c r="AJ35" i="18"/>
  <c r="AK35" i="18"/>
  <c r="AL35" i="18"/>
  <c r="I37" i="18"/>
  <c r="I36" i="18"/>
  <c r="I35" i="18"/>
  <c r="J33" i="18"/>
  <c r="K33" i="18"/>
  <c r="L33" i="18"/>
  <c r="M33" i="18"/>
  <c r="N33" i="18"/>
  <c r="O33" i="18"/>
  <c r="P33" i="18"/>
  <c r="Q33" i="18"/>
  <c r="R33" i="18"/>
  <c r="S33" i="18"/>
  <c r="T33" i="18"/>
  <c r="U33" i="18"/>
  <c r="V33" i="18"/>
  <c r="W33" i="18"/>
  <c r="X33" i="18"/>
  <c r="Y33" i="18"/>
  <c r="Z33" i="18"/>
  <c r="AA33" i="18"/>
  <c r="AB33" i="18"/>
  <c r="AC33" i="18"/>
  <c r="AD33" i="18"/>
  <c r="AE33" i="18"/>
  <c r="AF33" i="18"/>
  <c r="AG33" i="18"/>
  <c r="AH33" i="18"/>
  <c r="AI33" i="18"/>
  <c r="AJ33" i="18"/>
  <c r="AK33" i="18"/>
  <c r="AL33" i="18"/>
  <c r="J32" i="18"/>
  <c r="K32" i="18"/>
  <c r="L32" i="18"/>
  <c r="M32" i="18"/>
  <c r="N32" i="18"/>
  <c r="O32" i="18"/>
  <c r="P32" i="18"/>
  <c r="Q32" i="18"/>
  <c r="R32" i="18"/>
  <c r="S32" i="18"/>
  <c r="T32" i="18"/>
  <c r="U32" i="18"/>
  <c r="V32" i="18"/>
  <c r="W32" i="18"/>
  <c r="X32" i="18"/>
  <c r="Y32" i="18"/>
  <c r="Z32" i="18"/>
  <c r="AA32" i="18"/>
  <c r="AB32" i="18"/>
  <c r="AC32" i="18"/>
  <c r="AD32" i="18"/>
  <c r="AE32" i="18"/>
  <c r="AF32" i="18"/>
  <c r="AG32" i="18"/>
  <c r="AH32" i="18"/>
  <c r="AI32" i="18"/>
  <c r="AJ32" i="18"/>
  <c r="AK32" i="18"/>
  <c r="AL32" i="18"/>
  <c r="J31" i="18"/>
  <c r="K31" i="18"/>
  <c r="L31" i="18"/>
  <c r="M31" i="18"/>
  <c r="N31" i="18"/>
  <c r="O31" i="18"/>
  <c r="P31" i="18"/>
  <c r="Q31" i="18"/>
  <c r="R31" i="18"/>
  <c r="S31" i="18"/>
  <c r="T31" i="18"/>
  <c r="U31" i="18"/>
  <c r="V31" i="18"/>
  <c r="W31" i="18"/>
  <c r="X31" i="18"/>
  <c r="Y31" i="18"/>
  <c r="Z31" i="18"/>
  <c r="AA31" i="18"/>
  <c r="AB31" i="18"/>
  <c r="AC31" i="18"/>
  <c r="AD31" i="18"/>
  <c r="AE31" i="18"/>
  <c r="AF31" i="18"/>
  <c r="AG31" i="18"/>
  <c r="AH31" i="18"/>
  <c r="AI31" i="18"/>
  <c r="AJ31" i="18"/>
  <c r="AK31" i="18"/>
  <c r="AL31" i="18"/>
  <c r="J30" i="18"/>
  <c r="K30" i="18"/>
  <c r="L30" i="18"/>
  <c r="M30" i="18"/>
  <c r="N30" i="18"/>
  <c r="O30" i="18"/>
  <c r="P30" i="18"/>
  <c r="Q30" i="18"/>
  <c r="R30" i="18"/>
  <c r="S30" i="18"/>
  <c r="T30" i="18"/>
  <c r="U30" i="18"/>
  <c r="V30" i="18"/>
  <c r="W30" i="18"/>
  <c r="X30" i="18"/>
  <c r="Y30" i="18"/>
  <c r="Z30" i="18"/>
  <c r="AA30" i="18"/>
  <c r="AB30" i="18"/>
  <c r="AC30" i="18"/>
  <c r="AD30" i="18"/>
  <c r="AE30" i="18"/>
  <c r="AF30" i="18"/>
  <c r="AG30" i="18"/>
  <c r="AH30" i="18"/>
  <c r="AI30" i="18"/>
  <c r="AJ30" i="18"/>
  <c r="AK30" i="18"/>
  <c r="AL30" i="18"/>
  <c r="J29" i="18"/>
  <c r="K29" i="18"/>
  <c r="L29" i="18"/>
  <c r="M29" i="18"/>
  <c r="N29" i="18"/>
  <c r="O29" i="18"/>
  <c r="P29" i="18"/>
  <c r="Q29" i="18"/>
  <c r="R29" i="18"/>
  <c r="S29" i="18"/>
  <c r="T29" i="18"/>
  <c r="U29" i="18"/>
  <c r="V29" i="18"/>
  <c r="W29" i="18"/>
  <c r="X29" i="18"/>
  <c r="Y29" i="18"/>
  <c r="Z29" i="18"/>
  <c r="AA29" i="18"/>
  <c r="AB29" i="18"/>
  <c r="AC29" i="18"/>
  <c r="AD29" i="18"/>
  <c r="AE29" i="18"/>
  <c r="AF29" i="18"/>
  <c r="AG29" i="18"/>
  <c r="AH29" i="18"/>
  <c r="AI29" i="18"/>
  <c r="AJ29" i="18"/>
  <c r="AK29" i="18"/>
  <c r="AL29" i="18"/>
  <c r="I33" i="18"/>
  <c r="I32" i="18"/>
  <c r="I31" i="18"/>
  <c r="I30" i="18"/>
  <c r="I29" i="18"/>
  <c r="J27" i="18"/>
  <c r="K27" i="18"/>
  <c r="L27" i="18"/>
  <c r="M27" i="18"/>
  <c r="N27" i="18"/>
  <c r="O27" i="18"/>
  <c r="P27" i="18"/>
  <c r="Q27" i="18"/>
  <c r="R27" i="18"/>
  <c r="S27" i="18"/>
  <c r="T27" i="18"/>
  <c r="U27" i="18"/>
  <c r="V27" i="18"/>
  <c r="W27" i="18"/>
  <c r="X27" i="18"/>
  <c r="Y27" i="18"/>
  <c r="Z27" i="18"/>
  <c r="AA27" i="18"/>
  <c r="AB27" i="18"/>
  <c r="AC27" i="18"/>
  <c r="AD27" i="18"/>
  <c r="AE27" i="18"/>
  <c r="AF27" i="18"/>
  <c r="AG27" i="18"/>
  <c r="AH27" i="18"/>
  <c r="AI27" i="18"/>
  <c r="AJ27" i="18"/>
  <c r="AK27" i="18"/>
  <c r="AL27" i="18"/>
  <c r="J26" i="18"/>
  <c r="K26" i="18"/>
  <c r="L26" i="18"/>
  <c r="M26" i="18"/>
  <c r="N26" i="18"/>
  <c r="O26" i="18"/>
  <c r="P26" i="18"/>
  <c r="Q26" i="18"/>
  <c r="R26" i="18"/>
  <c r="S26" i="18"/>
  <c r="T26" i="18"/>
  <c r="U26" i="18"/>
  <c r="V26" i="18"/>
  <c r="W26" i="18"/>
  <c r="X26" i="18"/>
  <c r="Y26" i="18"/>
  <c r="Z26" i="18"/>
  <c r="AA26" i="18"/>
  <c r="AB26" i="18"/>
  <c r="AC26" i="18"/>
  <c r="AD26" i="18"/>
  <c r="AE26" i="18"/>
  <c r="AF26" i="18"/>
  <c r="AG26" i="18"/>
  <c r="AH26" i="18"/>
  <c r="AI26" i="18"/>
  <c r="AJ26" i="18"/>
  <c r="AK26" i="18"/>
  <c r="AL26" i="18"/>
  <c r="I27" i="18"/>
  <c r="I26" i="18"/>
  <c r="J24" i="18"/>
  <c r="K24" i="18"/>
  <c r="L24" i="18"/>
  <c r="M24" i="18"/>
  <c r="N24" i="18"/>
  <c r="O24" i="18"/>
  <c r="P24" i="18"/>
  <c r="Q24" i="18"/>
  <c r="R24" i="18"/>
  <c r="S24" i="18"/>
  <c r="T24" i="18"/>
  <c r="U24" i="18"/>
  <c r="V24" i="18"/>
  <c r="W24" i="18"/>
  <c r="X24" i="18"/>
  <c r="Y24" i="18"/>
  <c r="Z24" i="18"/>
  <c r="AA24" i="18"/>
  <c r="AB24" i="18"/>
  <c r="AC24" i="18"/>
  <c r="AD24" i="18"/>
  <c r="AE24" i="18"/>
  <c r="AF24" i="18"/>
  <c r="AG24" i="18"/>
  <c r="AH24" i="18"/>
  <c r="AI24" i="18"/>
  <c r="AJ24" i="18"/>
  <c r="AK24" i="18"/>
  <c r="AL24" i="18"/>
  <c r="J23" i="18"/>
  <c r="K23" i="18"/>
  <c r="L23" i="18"/>
  <c r="M23" i="18"/>
  <c r="N23" i="18"/>
  <c r="O23" i="18"/>
  <c r="P23" i="18"/>
  <c r="Q23" i="18"/>
  <c r="R23" i="18"/>
  <c r="S23" i="18"/>
  <c r="T23" i="18"/>
  <c r="U23" i="18"/>
  <c r="V23" i="18"/>
  <c r="W23" i="18"/>
  <c r="X23" i="18"/>
  <c r="Y23" i="18"/>
  <c r="Z23" i="18"/>
  <c r="AA23" i="18"/>
  <c r="AB23" i="18"/>
  <c r="AC23" i="18"/>
  <c r="AD23" i="18"/>
  <c r="AE23" i="18"/>
  <c r="AF23" i="18"/>
  <c r="AG23" i="18"/>
  <c r="AH23" i="18"/>
  <c r="AI23" i="18"/>
  <c r="AJ23" i="18"/>
  <c r="AK23" i="18"/>
  <c r="AL23"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I24" i="18"/>
  <c r="I23" i="18"/>
  <c r="I22" i="18"/>
  <c r="J20" i="18"/>
  <c r="K20" i="18"/>
  <c r="L20" i="18"/>
  <c r="M20" i="18"/>
  <c r="N20" i="18"/>
  <c r="O20" i="18"/>
  <c r="P20" i="18"/>
  <c r="Q20" i="18"/>
  <c r="R20" i="18"/>
  <c r="S20" i="18"/>
  <c r="T20" i="18"/>
  <c r="U20" i="18"/>
  <c r="V20" i="18"/>
  <c r="W20" i="18"/>
  <c r="X20" i="18"/>
  <c r="Y20" i="18"/>
  <c r="Z20" i="18"/>
  <c r="AA20" i="18"/>
  <c r="AB20" i="18"/>
  <c r="AC20" i="18"/>
  <c r="AD20" i="18"/>
  <c r="AE20" i="18"/>
  <c r="AF20" i="18"/>
  <c r="AG20" i="18"/>
  <c r="AH20" i="18"/>
  <c r="AI20" i="18"/>
  <c r="AJ20" i="18"/>
  <c r="AK20" i="18"/>
  <c r="AL20" i="18"/>
  <c r="J19" i="18"/>
  <c r="K19" i="18"/>
  <c r="L19" i="18"/>
  <c r="M19" i="18"/>
  <c r="N19" i="18"/>
  <c r="O19" i="18"/>
  <c r="P19" i="18"/>
  <c r="Q19" i="18"/>
  <c r="R19" i="18"/>
  <c r="S19" i="18"/>
  <c r="T19" i="18"/>
  <c r="U19" i="18"/>
  <c r="V19" i="18"/>
  <c r="W19" i="18"/>
  <c r="X19" i="18"/>
  <c r="Y19" i="18"/>
  <c r="Z19" i="18"/>
  <c r="AA19" i="18"/>
  <c r="AB19" i="18"/>
  <c r="AC19" i="18"/>
  <c r="AD19" i="18"/>
  <c r="AE19" i="18"/>
  <c r="AF19" i="18"/>
  <c r="AG19" i="18"/>
  <c r="AH19" i="18"/>
  <c r="AI19" i="18"/>
  <c r="AJ19" i="18"/>
  <c r="AK19" i="18"/>
  <c r="AL19" i="18"/>
  <c r="J18" i="18"/>
  <c r="K18" i="18"/>
  <c r="L18" i="18"/>
  <c r="M18" i="18"/>
  <c r="N18" i="18"/>
  <c r="O18" i="18"/>
  <c r="P18" i="18"/>
  <c r="Q18" i="18"/>
  <c r="R18" i="18"/>
  <c r="S18" i="18"/>
  <c r="T18" i="18"/>
  <c r="U18" i="18"/>
  <c r="V18" i="18"/>
  <c r="W18" i="18"/>
  <c r="X18" i="18"/>
  <c r="Y18" i="18"/>
  <c r="Z18" i="18"/>
  <c r="AA18" i="18"/>
  <c r="AB18" i="18"/>
  <c r="AC18" i="18"/>
  <c r="AD18" i="18"/>
  <c r="AE18" i="18"/>
  <c r="AF18" i="18"/>
  <c r="AG18" i="18"/>
  <c r="AH18" i="18"/>
  <c r="AI18" i="18"/>
  <c r="AJ18" i="18"/>
  <c r="AK18" i="18"/>
  <c r="AL18" i="18"/>
  <c r="J17" i="18"/>
  <c r="K17" i="18"/>
  <c r="L17" i="18"/>
  <c r="M17" i="18"/>
  <c r="N17" i="18"/>
  <c r="O17" i="18"/>
  <c r="P17" i="18"/>
  <c r="Q17" i="18"/>
  <c r="R17" i="18"/>
  <c r="S17" i="18"/>
  <c r="T17" i="18"/>
  <c r="U17" i="18"/>
  <c r="V17" i="18"/>
  <c r="W17" i="18"/>
  <c r="X17" i="18"/>
  <c r="Y17" i="18"/>
  <c r="Z17" i="18"/>
  <c r="AA17" i="18"/>
  <c r="AB17" i="18"/>
  <c r="AC17" i="18"/>
  <c r="AD17" i="18"/>
  <c r="AE17" i="18"/>
  <c r="AF17" i="18"/>
  <c r="AG17" i="18"/>
  <c r="AH17" i="18"/>
  <c r="AI17" i="18"/>
  <c r="AJ17" i="18"/>
  <c r="AK17" i="18"/>
  <c r="AL17" i="18"/>
  <c r="J16" i="18"/>
  <c r="K16" i="18"/>
  <c r="L16" i="18"/>
  <c r="M16" i="18"/>
  <c r="N16" i="18"/>
  <c r="O16" i="18"/>
  <c r="P16" i="18"/>
  <c r="Q16" i="18"/>
  <c r="R16" i="18"/>
  <c r="S16" i="18"/>
  <c r="T16" i="18"/>
  <c r="U16" i="18"/>
  <c r="V16" i="18"/>
  <c r="W16" i="18"/>
  <c r="X16" i="18"/>
  <c r="Y16" i="18"/>
  <c r="Z16" i="18"/>
  <c r="AA16" i="18"/>
  <c r="AB16" i="18"/>
  <c r="AC16" i="18"/>
  <c r="AD16" i="18"/>
  <c r="AE16" i="18"/>
  <c r="AF16" i="18"/>
  <c r="AG16" i="18"/>
  <c r="AH16" i="18"/>
  <c r="AI16" i="18"/>
  <c r="AJ16" i="18"/>
  <c r="AK16" i="18"/>
  <c r="AL16"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J14" i="18"/>
  <c r="K14" i="18"/>
  <c r="L14" i="18"/>
  <c r="M14" i="18"/>
  <c r="N14" i="18"/>
  <c r="O14" i="18"/>
  <c r="P14" i="18"/>
  <c r="Q14" i="18"/>
  <c r="R14" i="18"/>
  <c r="S14" i="18"/>
  <c r="T14" i="18"/>
  <c r="U14" i="18"/>
  <c r="V14" i="18"/>
  <c r="W14" i="18"/>
  <c r="X14" i="18"/>
  <c r="Y14" i="18"/>
  <c r="Z14" i="18"/>
  <c r="AA14" i="18"/>
  <c r="AB14" i="18"/>
  <c r="AC14" i="18"/>
  <c r="AD14" i="18"/>
  <c r="AE14" i="18"/>
  <c r="AF14" i="18"/>
  <c r="AG14" i="18"/>
  <c r="AH14" i="18"/>
  <c r="AI14" i="18"/>
  <c r="AJ14" i="18"/>
  <c r="AK14" i="18"/>
  <c r="AL14" i="18"/>
  <c r="I20" i="18"/>
  <c r="I19" i="18"/>
  <c r="I18" i="18"/>
  <c r="I17" i="18"/>
  <c r="I16" i="18"/>
  <c r="I15" i="18"/>
  <c r="I14" i="18"/>
  <c r="J3" i="18"/>
  <c r="K3" i="18"/>
  <c r="L3" i="18"/>
  <c r="M3" i="18"/>
  <c r="N3" i="18"/>
  <c r="O3" i="18"/>
  <c r="P3" i="18"/>
  <c r="Q3" i="18"/>
  <c r="R3" i="18"/>
  <c r="S3" i="18"/>
  <c r="T3" i="18"/>
  <c r="U3" i="18"/>
  <c r="V3" i="18"/>
  <c r="W3" i="18"/>
  <c r="X3" i="18"/>
  <c r="Y3" i="18"/>
  <c r="Z3" i="18"/>
  <c r="AA3" i="18"/>
  <c r="AB3" i="18"/>
  <c r="AC3" i="18"/>
  <c r="AD3" i="18"/>
  <c r="AE3" i="18"/>
  <c r="AF3" i="18"/>
  <c r="AG3" i="18"/>
  <c r="AH3" i="18"/>
  <c r="AI3" i="18"/>
  <c r="AJ3" i="18"/>
  <c r="AK3" i="18"/>
  <c r="AL3" i="18"/>
  <c r="I3" i="18"/>
  <c r="J12" i="18"/>
  <c r="K12" i="18"/>
  <c r="L12" i="18"/>
  <c r="M12" i="18"/>
  <c r="N12" i="18"/>
  <c r="O12" i="18"/>
  <c r="P12" i="18"/>
  <c r="Q12" i="18"/>
  <c r="R12" i="18"/>
  <c r="S12" i="18"/>
  <c r="T12" i="18"/>
  <c r="U12" i="18"/>
  <c r="V12" i="18"/>
  <c r="W12" i="18"/>
  <c r="X12" i="18"/>
  <c r="Y12" i="18"/>
  <c r="Z12" i="18"/>
  <c r="AA12" i="18"/>
  <c r="AB12" i="18"/>
  <c r="AC12" i="18"/>
  <c r="AD12" i="18"/>
  <c r="AE12" i="18"/>
  <c r="AF12" i="18"/>
  <c r="AG12" i="18"/>
  <c r="AH12" i="18"/>
  <c r="AI12" i="18"/>
  <c r="AJ12" i="18"/>
  <c r="AK12" i="18"/>
  <c r="AL12" i="18"/>
  <c r="J11" i="18"/>
  <c r="K11" i="18"/>
  <c r="L11" i="18"/>
  <c r="M11" i="18"/>
  <c r="N11" i="18"/>
  <c r="O11" i="18"/>
  <c r="P11" i="18"/>
  <c r="Q11" i="18"/>
  <c r="R11" i="18"/>
  <c r="S11" i="18"/>
  <c r="T11" i="18"/>
  <c r="U11" i="18"/>
  <c r="V11" i="18"/>
  <c r="W11" i="18"/>
  <c r="X11" i="18"/>
  <c r="Y11" i="18"/>
  <c r="Z11" i="18"/>
  <c r="AA11" i="18"/>
  <c r="AB11" i="18"/>
  <c r="AC11" i="18"/>
  <c r="AD11" i="18"/>
  <c r="AE11" i="18"/>
  <c r="AF11" i="18"/>
  <c r="AG11" i="18"/>
  <c r="AH11" i="18"/>
  <c r="AI11" i="18"/>
  <c r="AJ11" i="18"/>
  <c r="AK11" i="18"/>
  <c r="AL11"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I12" i="18"/>
  <c r="I11" i="18"/>
  <c r="I10" i="18"/>
  <c r="I9" i="18"/>
  <c r="AL47" i="18"/>
  <c r="G3" i="6"/>
  <c r="H3" i="6"/>
  <c r="I3" i="6"/>
  <c r="J3" i="6"/>
  <c r="K3" i="6"/>
  <c r="L3" i="6"/>
  <c r="M3" i="6"/>
  <c r="N3" i="6"/>
  <c r="O3" i="6"/>
  <c r="P3" i="6"/>
  <c r="Q3" i="6"/>
  <c r="R3" i="6"/>
  <c r="S3" i="6"/>
  <c r="T3" i="6"/>
  <c r="U3" i="6"/>
  <c r="V3" i="6"/>
  <c r="W3" i="6"/>
  <c r="X3" i="6"/>
  <c r="Y3" i="6"/>
  <c r="Z3" i="6"/>
  <c r="AA3" i="6"/>
  <c r="AB3" i="6"/>
  <c r="AC3" i="6"/>
  <c r="AD3" i="6"/>
  <c r="AE3" i="6"/>
  <c r="AF3" i="6"/>
  <c r="AG3" i="6"/>
  <c r="AH3" i="6"/>
  <c r="AI3" i="6"/>
  <c r="AJ3" i="6"/>
  <c r="AK3" i="6"/>
  <c r="F3" i="6"/>
  <c r="A10" i="15" a="1"/>
  <c r="A8" i="15" a="1"/>
  <c r="A6" i="15" a="1"/>
  <c r="A4" i="15" a="1"/>
  <c r="H40" i="18" l="1"/>
  <c r="H12" i="18"/>
  <c r="H15" i="18"/>
  <c r="H19" i="18"/>
  <c r="H29" i="18"/>
  <c r="H33" i="18"/>
  <c r="H20" i="18"/>
  <c r="H45" i="18"/>
  <c r="H32" i="18"/>
  <c r="H31" i="18"/>
  <c r="H36" i="18"/>
  <c r="H44" i="18"/>
  <c r="H17" i="18"/>
  <c r="H11" i="18"/>
  <c r="H14" i="18"/>
  <c r="H18" i="18"/>
  <c r="H16" i="18"/>
  <c r="H24" i="18"/>
  <c r="H22" i="18"/>
  <c r="H23" i="18"/>
  <c r="H26" i="18"/>
  <c r="H27" i="18"/>
  <c r="H30" i="18"/>
  <c r="H37" i="18"/>
  <c r="H35" i="18"/>
  <c r="H39" i="18"/>
  <c r="H42" i="18"/>
  <c r="H43" i="18"/>
  <c r="H46" i="18"/>
  <c r="H47" i="18"/>
  <c r="H10" i="18"/>
  <c r="H9" i="18"/>
  <c r="A10" i="15"/>
  <c r="A6" i="15"/>
  <c r="A4" i="15"/>
  <c r="A8" i="15"/>
  <c r="B10" i="15" l="1"/>
  <c r="B6" i="15"/>
  <c r="B4" i="15"/>
  <c r="B8" i="15"/>
  <c r="K8" i="15" a="1"/>
  <c r="K5" i="15" a="1"/>
  <c r="K9" i="15" a="1"/>
  <c r="K10" i="15" a="1"/>
  <c r="K11" i="15" a="1"/>
  <c r="K4" i="15" a="1"/>
  <c r="K6" i="15" a="1"/>
  <c r="K7" i="15" a="1"/>
  <c r="K7" i="15" l="1"/>
  <c r="K8" i="15"/>
  <c r="K11" i="15"/>
  <c r="K5" i="15"/>
  <c r="K4" i="15"/>
  <c r="K9" i="15"/>
  <c r="K10" i="15"/>
  <c r="K6" i="15"/>
  <c r="R6" i="15" l="1"/>
  <c r="L6" i="15"/>
  <c r="R10" i="15"/>
  <c r="L10" i="15"/>
  <c r="R7" i="15"/>
  <c r="L7" i="15"/>
  <c r="L9" i="15"/>
  <c r="R9" i="15"/>
  <c r="R8" i="15"/>
  <c r="L8" i="15"/>
  <c r="R4" i="15"/>
  <c r="L4" i="15"/>
  <c r="L5" i="15"/>
  <c r="R5" i="15"/>
  <c r="R11" i="15"/>
  <c r="L11" i="15"/>
</calcChain>
</file>

<file path=xl/sharedStrings.xml><?xml version="1.0" encoding="utf-8"?>
<sst xmlns="http://schemas.openxmlformats.org/spreadsheetml/2006/main" count="2169" uniqueCount="1091">
  <si>
    <t>Thématiques</t>
  </si>
  <si>
    <t>Design, innovation et créativité</t>
  </si>
  <si>
    <t>Les objets et systèmes techniques et les changements induits dans la société</t>
  </si>
  <si>
    <t>La modélisation et la simulation des objets et systèmes techniques</t>
  </si>
  <si>
    <t>L’informatique et la programmation</t>
  </si>
  <si>
    <t>Repère séquence</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</si>
  <si>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</si>
  <si>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</si>
  <si>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</si>
  <si>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</si>
  <si>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</si>
  <si>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</si>
  <si>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</si>
  <si>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</si>
  <si>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</si>
  <si>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</si>
  <si>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</si>
  <si>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</si>
  <si>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</si>
  <si>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</si>
  <si>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</si>
  <si>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</si>
  <si>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</si>
  <si>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</si>
  <si>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</si>
  <si>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</si>
  <si>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</si>
  <si>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</si>
  <si>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</si>
  <si>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</si>
  <si>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</si>
  <si>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</si>
  <si>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</si>
  <si>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</si>
  <si>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</si>
  <si>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</si>
  <si>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Analyser le fonctionnement et la structure d’un objet, identifier les entrées et sorties.</t>
  </si>
  <si>
    <t>Analyser le comportement attendu d’un système réel et décomposer le problème posé en sous-problèmes afin de structurer un programme de commande.</t>
  </si>
  <si>
    <t>Écrire, mettre au point (tester, corriger) et exécuter un programme commandant un système réel et vérifier le comportement attendu.</t>
  </si>
  <si>
    <t>Utiliser une modélisation pour comprendre, formaliser, partager, construire, investiguer, prouver.</t>
  </si>
  <si>
    <t>Comparer et commenter les évolutions des objets en articulant différents points de vue : fonctionnel, structurel, environnemental, technique, scientifique, social, historique, économique.</t>
  </si>
  <si>
    <t>Élaborer un document qui synthétise ces comparaisons et ces commentaires.</t>
  </si>
  <si>
    <t>Thème de séquence</t>
  </si>
  <si>
    <t>Pratiquer des démarches scientifiques et technologiques</t>
  </si>
  <si>
    <t xml:space="preserve">Mesurer des grandeurs de manière directe ou indirecte. </t>
  </si>
  <si>
    <t>Concevoir, créer, réaliser</t>
  </si>
  <si>
    <t>S’approprier des outils et des méthodes</t>
  </si>
  <si>
    <t>Présenter à l’oral et à l’aide de supports numériques multimédia des solutions techniques au moment des revues de projet.</t>
  </si>
  <si>
    <t xml:space="preserve">Pratiquer des langages </t>
  </si>
  <si>
    <t>Mobiliser des outils numériques</t>
  </si>
  <si>
    <t>Organiser, structurer et stocker des ressources numériques.</t>
  </si>
  <si>
    <t>Adopter un comportement éthique et responsable</t>
  </si>
  <si>
    <t>Se situer dans l’espace et dans le temps</t>
  </si>
  <si>
    <t xml:space="preserve">Relier les évolutions technologiques aux inventions et innovations qui marquent des ruptures dans les solutions techniques. </t>
  </si>
  <si>
    <t>Regrouper des objets en familles et lignées.</t>
  </si>
  <si>
    <t>Compétences</t>
  </si>
  <si>
    <t>Organisation d’un groupe de projet, rôle des participants, planning, revue de projets.</t>
  </si>
  <si>
    <t>Arborescence.</t>
  </si>
  <si>
    <t>Prototypage rapide de structures et de circuits de commande à partir de cartes standard.</t>
  </si>
  <si>
    <t>Les règles d’un usage raisonné des objets communicants respectant la propriété intellectuelle et l’intégrité d’autrui.</t>
  </si>
  <si>
    <t>Outils numériques de description des objets techniques.</t>
  </si>
  <si>
    <t>Respecter une procédure de travail garantissant un résultat en respectant les règles de sécurité et d’utilisation des outils mis à disposition.</t>
  </si>
  <si>
    <t>Analyse fonctionnelle systémique.</t>
  </si>
  <si>
    <t>Outils de description d’un fonctionnement, d’une structure et d’un comportement.</t>
  </si>
  <si>
    <t>Notions d’écarts entre les attentes fixées par le cahier des charges et les résultats de l’expérimentation.</t>
  </si>
  <si>
    <t>Interpréter des résultats expérimentaux, en tirer une conclusion et la communiquer en argumentant.</t>
  </si>
  <si>
    <t>Notions d’écarts entre les attentes fixées par le cahier des charges et les résultats de la simulation.</t>
  </si>
  <si>
    <t>Info</t>
  </si>
  <si>
    <t>8) Acquérir et transmettre des informations ou des données</t>
  </si>
  <si>
    <t>Nombre de compétences développées</t>
  </si>
  <si>
    <t>Présentation de la séquence</t>
  </si>
  <si>
    <t>Thématiques du programme</t>
  </si>
  <si>
    <t>Situation déclenchante possible</t>
  </si>
  <si>
    <t>Positionnement dans le cycle 4</t>
  </si>
  <si>
    <t>Proposition de déroulé</t>
  </si>
  <si>
    <t>Séance 1</t>
  </si>
  <si>
    <t>Séance 2</t>
  </si>
  <si>
    <t>Séance 3</t>
  </si>
  <si>
    <t>Question directrice</t>
  </si>
  <si>
    <t>Activités</t>
  </si>
  <si>
    <t>Conclusion / bilan</t>
  </si>
  <si>
    <t>Démarche pédagogique</t>
  </si>
  <si>
    <t>Capteur, actionneur, interface.</t>
  </si>
  <si>
    <t>IP.2.3.6</t>
  </si>
  <si>
    <t>IP.2.3.5</t>
  </si>
  <si>
    <t>IP.2.3.4</t>
  </si>
  <si>
    <t>IP.2.3.3</t>
  </si>
  <si>
    <t>IP.2.3.2</t>
  </si>
  <si>
    <t>IP.2.3.1</t>
  </si>
  <si>
    <t>Écrire un programme dans lequel des actions sont déclenchées par des événements extérieurs.</t>
  </si>
  <si>
    <t>IP.2.3</t>
  </si>
  <si>
    <t>IP.2.2</t>
  </si>
  <si>
    <t>IP.2.1</t>
  </si>
  <si>
    <t>Écrire, mettre au point et exécuter un programme</t>
  </si>
  <si>
    <t>IP.2</t>
  </si>
  <si>
    <t>Notion de protocole, d'organisation de protocoles en couche, d'algorithme de routage, Internet.</t>
  </si>
  <si>
    <t>IP.1.1.2</t>
  </si>
  <si>
    <t>IP.1.1.1</t>
  </si>
  <si>
    <t>Comprendre le fonctionnement d’un réseau informatique</t>
  </si>
  <si>
    <t>IP.1</t>
  </si>
  <si>
    <t xml:space="preserve">Connaissances </t>
  </si>
  <si>
    <t>Écrire, mettre au point et exécuter un programme.</t>
  </si>
  <si>
    <t>Comprendre le fonctionnement d’un réseau informatique.</t>
  </si>
  <si>
    <t>Attendus de fin de cycle</t>
  </si>
  <si>
    <t>Simuler numériquement la structure et/ou le comportement d’un objet. Interpréter le comportement de l’objet technique et le communiquer en argumentant.</t>
  </si>
  <si>
    <t>MSOST.2.2</t>
  </si>
  <si>
    <t>MSOST.2.1.1</t>
  </si>
  <si>
    <t>MSOST.2.1</t>
  </si>
  <si>
    <t>Utiliser une modélisation et simuler le comportement d’un objet</t>
  </si>
  <si>
    <t>MSOST.2</t>
  </si>
  <si>
    <t>MSOST.1.7.1</t>
  </si>
  <si>
    <t>MSOST.1.7</t>
  </si>
  <si>
    <t>Nature d’une information : logique ou analogique.</t>
  </si>
  <si>
    <t>MSOST.1.6.4</t>
  </si>
  <si>
    <t>MSOST.1.6.3</t>
  </si>
  <si>
    <t>MSOST.1.6.2</t>
  </si>
  <si>
    <t>MSOST.1.6.1</t>
  </si>
  <si>
    <t>MSOST.1.6</t>
  </si>
  <si>
    <t>MSOST.1.5.1</t>
  </si>
  <si>
    <t>Décrire, en utilisant les outils et langages de descriptions adaptés, le fonctionnement, la structure et le comportement des objets.</t>
  </si>
  <si>
    <t>MSOST.1.5</t>
  </si>
  <si>
    <t>Chaîne d’information.</t>
  </si>
  <si>
    <t>MSOST.1.4.4</t>
  </si>
  <si>
    <t>Chaîne d’énergie.</t>
  </si>
  <si>
    <t>MSOST.1.4.3</t>
  </si>
  <si>
    <t>MSOST.1.4.2</t>
  </si>
  <si>
    <t>MSOST.1.4.1</t>
  </si>
  <si>
    <t>Identifier le(s) matériau(x), les flux d’énergie et d’information sur un objet et décrire les transformations qui s’opèrent.</t>
  </si>
  <si>
    <t>MSOST.1.4</t>
  </si>
  <si>
    <t>MSOST.1.3.4</t>
  </si>
  <si>
    <t>MSOST.1.3.3</t>
  </si>
  <si>
    <t>MSOST.1.3.2</t>
  </si>
  <si>
    <t>MSOST.1.3.1</t>
  </si>
  <si>
    <t>MSOST.1.3</t>
  </si>
  <si>
    <t>MSOST.1.2.1</t>
  </si>
  <si>
    <t>Associer des solutions techniques à des fonctions.</t>
  </si>
  <si>
    <t>MSOST.1.2</t>
  </si>
  <si>
    <t>Ergonomie.</t>
  </si>
  <si>
    <t>MSOST.1.1.2</t>
  </si>
  <si>
    <t>MSOST.1.1.1</t>
  </si>
  <si>
    <t>MSOST.1.1</t>
  </si>
  <si>
    <t>Analyser le fonctionnement et la structure d’un objet</t>
  </si>
  <si>
    <t>MSOST.1</t>
  </si>
  <si>
    <t>Utiliser une modélisation et simuler le comportement d’un objet.</t>
  </si>
  <si>
    <t>Analyser le fonctionnement et la structure d’un objet.</t>
  </si>
  <si>
    <t xml:space="preserve">La modélisation et la simulation des objets et systèmes techniques </t>
  </si>
  <si>
    <t>OTSCIS.2.2.1</t>
  </si>
  <si>
    <t>Lire, utiliser et produire, à l’aide d’outils de représentation numérique, des choix de solutions sous forme de dessins ou de schémas.</t>
  </si>
  <si>
    <t>OTSCIS.2.2</t>
  </si>
  <si>
    <t>Notion d’algorithme.</t>
  </si>
  <si>
    <t>OTSCIS.2.1.4</t>
  </si>
  <si>
    <t>OTSCIS.2.1.3</t>
  </si>
  <si>
    <t>OTSCIS.2.1.2</t>
  </si>
  <si>
    <t>OTSCIS.2.1.1</t>
  </si>
  <si>
    <t xml:space="preserve">Exprimer sa pensée à l’aide d’outils de description adaptés : croquis, schémas, graphes, diagrammes, tableaux. </t>
  </si>
  <si>
    <t>OTSCIS.2.1</t>
  </si>
  <si>
    <t>Exprimer sa pensée à l’aide d’outils de description adaptés</t>
  </si>
  <si>
    <t>OTSCIS.2</t>
  </si>
  <si>
    <t>Charte graphique.</t>
  </si>
  <si>
    <t>OTSCIS.1.4.2</t>
  </si>
  <si>
    <t>Outils numériques de présentation.</t>
  </si>
  <si>
    <t>OTSCIS.1.4.1</t>
  </si>
  <si>
    <t>OTSCIS.1.4</t>
  </si>
  <si>
    <t>OTSCIS.1.3</t>
  </si>
  <si>
    <t>OTSCIS.1.2</t>
  </si>
  <si>
    <t>OTSCIS.1.1.4</t>
  </si>
  <si>
    <t>OTSCIS.1.1.3</t>
  </si>
  <si>
    <t>CT 7.2</t>
  </si>
  <si>
    <t>OTSCIS.1.1.2</t>
  </si>
  <si>
    <t>OTSCIS.1.1</t>
  </si>
  <si>
    <t>CT 7.1</t>
  </si>
  <si>
    <t>OTSCIS.1.1.1</t>
  </si>
  <si>
    <t>5 - les représentations du monde et l'activité humaine</t>
  </si>
  <si>
    <t>Comparer et commenter les évolutions des objets et systèmes</t>
  </si>
  <si>
    <t>OTSCIS.1</t>
  </si>
  <si>
    <t>CT 6.3</t>
  </si>
  <si>
    <t>CT 6.2</t>
  </si>
  <si>
    <t>Développer les bonnes pratiques de l’usage des objets communicants.</t>
  </si>
  <si>
    <t>CT 6.1</t>
  </si>
  <si>
    <t>Exprimer sa pensée à l’aide d’outils de description adaptés. </t>
  </si>
  <si>
    <t>3 - la formation de la personne et du citoyen</t>
  </si>
  <si>
    <t>Comparer et commenter les évolutions des objets et systèmes.</t>
  </si>
  <si>
    <t>CT 5.5</t>
  </si>
  <si>
    <t>CT 5.4</t>
  </si>
  <si>
    <t>Les objets techniques, les services et les changements induits dans la société</t>
  </si>
  <si>
    <t>CT 5.3</t>
  </si>
  <si>
    <t>DIC.1.6</t>
  </si>
  <si>
    <t>CT 5.2</t>
  </si>
  <si>
    <t>CT 5.1</t>
  </si>
  <si>
    <t>DIC.2.1.1</t>
  </si>
  <si>
    <t>DIC.2.1</t>
  </si>
  <si>
    <t>2 - les méthodes et outils pour apprendre</t>
  </si>
  <si>
    <t>Réaliser, de manière collaborative, le prototype d’un objet communicant</t>
  </si>
  <si>
    <t>DIC.2</t>
  </si>
  <si>
    <t>CT 4.2</t>
  </si>
  <si>
    <t>CT 4.1</t>
  </si>
  <si>
    <t>DIC.1.7.1</t>
  </si>
  <si>
    <t>DIC.1.7</t>
  </si>
  <si>
    <t>1 - les langages pour penser et communiquer</t>
  </si>
  <si>
    <t>DIC.1.6.1</t>
  </si>
  <si>
    <t>CT 3.3</t>
  </si>
  <si>
    <t>Objets connectés.</t>
  </si>
  <si>
    <t>DIC.1.5.6</t>
  </si>
  <si>
    <t>DIC.1.5</t>
  </si>
  <si>
    <t>CT 3.2</t>
  </si>
  <si>
    <t>DIC.1.5.5</t>
  </si>
  <si>
    <t>CT 3.1</t>
  </si>
  <si>
    <t>DIC.1.5.4</t>
  </si>
  <si>
    <t>DIC.1.5.3</t>
  </si>
  <si>
    <t>CT 2.7</t>
  </si>
  <si>
    <t>DIC.1.5.2</t>
  </si>
  <si>
    <t>CT 2.6</t>
  </si>
  <si>
    <t>DIC.1.5.1</t>
  </si>
  <si>
    <t>Imaginer des solutions pour produire des objets et des éléments de programmes informatiques en réponse au besoin.</t>
  </si>
  <si>
    <t>CT 2.5</t>
  </si>
  <si>
    <t>DIC.1.4.1</t>
  </si>
  <si>
    <t>Participer à l’organisation de projets, la définition des rôles, la planification (se projeter et anticiper) et aux revues de projet.</t>
  </si>
  <si>
    <t>DIC.1.4</t>
  </si>
  <si>
    <t>CT 2.4</t>
  </si>
  <si>
    <t>DIC.1.3.2</t>
  </si>
  <si>
    <t>DIC.1.2</t>
  </si>
  <si>
    <t>CT 2.3</t>
  </si>
  <si>
    <t>DIC.1.3.1</t>
  </si>
  <si>
    <t>DIC.1.3</t>
  </si>
  <si>
    <t>CT 2.2</t>
  </si>
  <si>
    <t>DIC.1.2.1</t>
  </si>
  <si>
    <t>DIC.1.1       DIC.1.2</t>
  </si>
  <si>
    <t>CT 2.1</t>
  </si>
  <si>
    <t>DIC.1.1.1</t>
  </si>
  <si>
    <t>DIC.1.1</t>
  </si>
  <si>
    <t>4 - les systèmes naturels et les systèmes techniques</t>
  </si>
  <si>
    <t>Imaginer des solutions en réponse aux besoins, matérialiser une idée en intégrant une dimension design</t>
  </si>
  <si>
    <t>DIC.1</t>
  </si>
  <si>
    <t>CT 1.4</t>
  </si>
  <si>
    <t>CT 1.3</t>
  </si>
  <si>
    <t>Réaliser, de manière collaborative, le prototype d’un objet communicant.</t>
  </si>
  <si>
    <t>CT 1.2</t>
  </si>
  <si>
    <t>Imaginer des solutions en réponse aux besoins, matérialiser des idées en intégrant une dimension design.</t>
  </si>
  <si>
    <t xml:space="preserve">DIC.1.3 </t>
  </si>
  <si>
    <t>CT 1.1</t>
  </si>
  <si>
    <t>Modélisation</t>
  </si>
  <si>
    <t>Design</t>
  </si>
  <si>
    <t>Compétences du programme par thématique</t>
  </si>
  <si>
    <t xml:space="preserve">Compétences travaillées </t>
  </si>
  <si>
    <t>Domaines du socle</t>
  </si>
  <si>
    <t>Compétences travaillées</t>
  </si>
  <si>
    <t xml:space="preserve">DIC </t>
  </si>
  <si>
    <t>OTSCIS</t>
  </si>
  <si>
    <t>MSOST</t>
  </si>
  <si>
    <t>IP</t>
  </si>
  <si>
    <t>→</t>
  </si>
  <si>
    <t>Répartition sur le cycle</t>
  </si>
  <si>
    <t>Compétences spécifiques au programme de technologie</t>
  </si>
  <si>
    <t>Repères de progressivité</t>
  </si>
  <si>
    <r>
      <t>S’agissant des activités de projet, la conception doit être introduite dès la classe de 5</t>
    </r>
    <r>
      <rPr>
        <vertAlign val="superscript"/>
        <sz val="10"/>
        <color rgb="FF000000"/>
        <rFont val="Calibri"/>
        <family val="2"/>
      </rPr>
      <t>ème</t>
    </r>
    <r>
      <rPr>
        <sz val="10"/>
        <color rgb="FF000000"/>
        <rFont val="Calibri"/>
        <family val="2"/>
      </rPr>
      <t>, mais de façon progressive et modeste sur des projets simples. Des projets complets (conception, réalisation, validation) sont attendus en classe de 3</t>
    </r>
    <r>
      <rPr>
        <vertAlign val="superscript"/>
        <sz val="10"/>
        <color rgb="FF000000"/>
        <rFont val="Calibri"/>
        <family val="2"/>
      </rPr>
      <t>ème</t>
    </r>
    <r>
      <rPr>
        <sz val="10"/>
        <color rgb="FF000000"/>
        <rFont val="Calibri"/>
        <family val="2"/>
      </rPr>
      <t>.</t>
    </r>
  </si>
  <si>
    <t>Cette thématique a vocation à conduire les élèves à comparer et analyser les objets et systèmes techniques. Considérant que la technologie n’est pas extérieure à la société, il s’agit de nouer des liens avec le monde social. C’est à l’occasion de croisements disciplinaires et en traitant de questions d’actualité que cette thématique devient « matière » à relier et à contextualiser. La notion de respect des usages des objets communicants inclut le respect de la propriété intellectuelle dans le cadre de productions originales et personnelles. Elle interroge les élèves sur le respect dû à chaque individu dans et en dehors de la classe.</t>
  </si>
  <si>
    <t xml:space="preserve">Un modèle numérique est une représentation virtuelle d’un objet technique, réalisée en vue de valider des éléments de solutions préalablement imaginés ou d’en étudier certains aspects. Il ne s’agit pas « d’apprendre des modèles » mais d’apprendre à utiliser des modèles, voire à créer un modèle géométrique.
Dans un premier temps, les activités de modélisation seront conduites sur des objets techniques connus des élèves. On privilégiera tout d’abord les modèles à valeur explicative puis les modèles pour construire.
En fin de cycle, l’accent sera mis sur les hypothèses retenues pour utiliser une modélisation de comportement fournie et sur la nécessité de prendre en compte ces hypothèses pour interpréter les résultats de la simulation. Il sera pertinent de montrer l’influence d’un ou deux paramètres sur les résultats obtenus afin d’initier une réflexion sur la validité des résultats.
</t>
  </si>
  <si>
    <t>Repères de progressivité :</t>
  </si>
  <si>
    <t>Chronologie dans la progression</t>
  </si>
  <si>
    <t xml:space="preserve">Progression du cycle </t>
  </si>
  <si>
    <t>TECHNOLOGIE</t>
  </si>
  <si>
    <t>Professeurs de technologie</t>
  </si>
  <si>
    <t>Nb laboratoires</t>
  </si>
  <si>
    <t>oui/non</t>
  </si>
  <si>
    <t xml:space="preserve">Ilots </t>
  </si>
  <si>
    <t>Compétence(s) travaillées</t>
  </si>
  <si>
    <t>Axes du projet d'établissement visés par la discipline</t>
  </si>
  <si>
    <t>Nom</t>
  </si>
  <si>
    <t>Segpa</t>
  </si>
  <si>
    <t>Prépa-pro</t>
  </si>
  <si>
    <t>Contexte de l'établissement</t>
  </si>
  <si>
    <t xml:space="preserve">Axe 1 </t>
  </si>
  <si>
    <t>REP (oui/non)</t>
  </si>
  <si>
    <t>Autre</t>
  </si>
  <si>
    <t>Académie de ………………………</t>
  </si>
  <si>
    <t>Nb heures</t>
  </si>
  <si>
    <t>Présentation des onglets</t>
  </si>
  <si>
    <t>Ce document à destination de l'équipe pédagogique de technologie est un outil d'aide à l'élaboration d'une progression pédagogique pour les 3 années du cycle 4.</t>
  </si>
  <si>
    <t xml:space="preserve">Programme </t>
  </si>
  <si>
    <t xml:space="preserve"> Imaginer, synthétiser, formaliser et respecter une procédure, un protocole. </t>
  </si>
  <si>
    <t xml:space="preserve">Rechercher des solutions techniques à un problème posé, expliciter ses choix et les communiquer en argumentant. </t>
  </si>
  <si>
    <t>Identifier un besoin et énoncer un problème technique, identifier les conditions, contraintes (normes et règlements) et ressources correspondantes.</t>
  </si>
  <si>
    <t>Participer à l’organisation et au déroulement de projets.</t>
  </si>
  <si>
    <t>Identifier le(s) matériau(x), les flux d’énergie et d’information dans le cadre d’une production technique sur un objet et décrire les transformations qui s’opèrent.</t>
  </si>
  <si>
    <t>S’approprier un cahier des charges.</t>
  </si>
  <si>
    <t>Imaginer des solutions en réponse au besoin.</t>
  </si>
  <si>
    <t>Réaliser, de manière collaborative, le prototype de tout ou partie d’un objet pour valider une solution.</t>
  </si>
  <si>
    <t>Imaginer, concevoir et programmer des applications informatiques nomades.</t>
  </si>
  <si>
    <t>Exprimer sa pensée à l’aide d’outils de description adaptés : croquis, schémas, graphes, diagrammes, tableaux (représentations non normées).</t>
  </si>
  <si>
    <t>Traduire, à l’aide d’outils de représentation numérique, des choix de solutions sous forme de croquis, de dessins ou de schémas.</t>
  </si>
  <si>
    <t>Décrire, en utilisant les outils et langages de descriptions adaptés, la structure et le comportement des objets.</t>
  </si>
  <si>
    <t>Appliquer les principes élémentaires de l’algorithmique et du codage à la résolution d’un problème simple.</t>
  </si>
  <si>
    <t>Simuler numériquement la structure et/ou le comportement d’un objet.</t>
  </si>
  <si>
    <t>Lire, utiliser et produire des représentations numériques d’objets.</t>
  </si>
  <si>
    <t>Piloter un système connecté localement ou à distance.</t>
  </si>
  <si>
    <t>Modifier ou paramétrer le fonctionnement d’un objet communicant.</t>
  </si>
  <si>
    <t>Analyser l’impact environnemental d’un objet et de ses constituants.</t>
  </si>
  <si>
    <t>Nombre de séquences où la compétence est travaillée</t>
  </si>
  <si>
    <t>Problématiques proposées                       Cycle 4</t>
  </si>
  <si>
    <t>Problématiques / compétences                                     Cycle 4</t>
  </si>
  <si>
    <t>TECHNOLOGIE - programme 2016 - Cycle 4</t>
  </si>
  <si>
    <t>Problématiques-compétences</t>
  </si>
  <si>
    <t>Progression-cycle 4</t>
  </si>
  <si>
    <t>(exemple une problématique Sx suivie de 2 à 4 séquences de projet)</t>
  </si>
  <si>
    <t xml:space="preserve">Méthodologie </t>
  </si>
  <si>
    <t>PROGRESSION PÉDAGOGIQUE Cycle 4</t>
  </si>
  <si>
    <t>Années 2016 -2019</t>
  </si>
  <si>
    <t>Axe 2</t>
  </si>
  <si>
    <t>…</t>
  </si>
  <si>
    <t>Durée</t>
  </si>
  <si>
    <t>Niveau</t>
  </si>
  <si>
    <t>Niveau de classe</t>
  </si>
  <si>
    <t>Discipline(s) associée ?</t>
  </si>
  <si>
    <t>Programme</t>
  </si>
  <si>
    <t>Lien avec les enseignements pratiques interdisciplinaires (EPI)</t>
  </si>
  <si>
    <t>La plage N-Q/1-87 rappelle les repères de progressivité.</t>
  </si>
  <si>
    <t>Pour créer une progression pédagogique au cycle 4 :</t>
  </si>
  <si>
    <r>
      <t>6</t>
    </r>
    <r>
      <rPr>
        <vertAlign val="superscript"/>
        <sz val="11"/>
        <color rgb="FF000000"/>
        <rFont val="Calibri"/>
        <family val="2"/>
      </rPr>
      <t>e</t>
    </r>
    <r>
      <rPr>
        <sz val="11"/>
        <color rgb="FF000000"/>
        <rFont val="Calibri"/>
        <family val="2"/>
      </rPr>
      <t xml:space="preserve"> </t>
    </r>
  </si>
  <si>
    <r>
      <t>5</t>
    </r>
    <r>
      <rPr>
        <vertAlign val="superscript"/>
        <sz val="11"/>
        <color rgb="FF000000"/>
        <rFont val="Calibri"/>
        <family val="2"/>
      </rPr>
      <t>e</t>
    </r>
  </si>
  <si>
    <r>
      <t>4</t>
    </r>
    <r>
      <rPr>
        <vertAlign val="superscript"/>
        <sz val="11"/>
        <color rgb="FF000000"/>
        <rFont val="Calibri"/>
        <family val="2"/>
      </rPr>
      <t>e</t>
    </r>
  </si>
  <si>
    <r>
      <t>3</t>
    </r>
    <r>
      <rPr>
        <vertAlign val="superscript"/>
        <sz val="11"/>
        <color rgb="FF000000"/>
        <rFont val="Calibri"/>
        <family val="2"/>
      </rPr>
      <t>e</t>
    </r>
  </si>
  <si>
    <t>Nom - Prénom</t>
  </si>
  <si>
    <t>Oui/non</t>
  </si>
  <si>
    <t>Discipline(s) associée(s)</t>
  </si>
  <si>
    <t>Discipline(s) associée(s) ?</t>
  </si>
  <si>
    <t>Identifier les conditions, contraintes (normes et règlements) et ressources correspondantes, qualifier et quantifier simplement les performances d’un objet technique existant ou à créer.</t>
  </si>
  <si>
    <r>
      <t>En 5</t>
    </r>
    <r>
      <rPr>
        <vertAlign val="superscript"/>
        <sz val="11"/>
        <color rgb="FF000000"/>
        <rFont val="Calibri"/>
        <family val="2"/>
      </rPr>
      <t>e</t>
    </r>
    <r>
      <rPr>
        <sz val="11"/>
        <color rgb="FF000000"/>
        <rFont val="Calibri"/>
        <family val="2"/>
      </rPr>
      <t xml:space="preserve"> : traitement, mise au point et exécution de programmes simples avec un nombre limité de variables d’entrée et de sortie, développement de programmes avec des boucles itératives. </t>
    </r>
  </si>
  <si>
    <r>
      <t>En 4</t>
    </r>
    <r>
      <rPr>
        <vertAlign val="superscript"/>
        <sz val="11"/>
        <color rgb="FF000000"/>
        <rFont val="Calibri"/>
        <family val="2"/>
      </rPr>
      <t>e</t>
    </r>
    <r>
      <rPr>
        <sz val="11"/>
        <color rgb="FF000000"/>
        <rFont val="Calibri"/>
        <family val="2"/>
      </rPr>
      <t> : traitement, mise au point et exécution de programmes avec introduction de plusieurs variables d’entrée et de sortie.</t>
    </r>
  </si>
  <si>
    <r>
      <t>En 3</t>
    </r>
    <r>
      <rPr>
        <vertAlign val="superscript"/>
        <sz val="11"/>
        <color rgb="FF000000"/>
        <rFont val="Calibri"/>
        <family val="2"/>
      </rPr>
      <t>e</t>
    </r>
    <r>
      <rPr>
        <sz val="11"/>
        <color rgb="FF000000"/>
        <rFont val="Calibri"/>
        <family val="2"/>
      </rPr>
      <t> : introduction du comptage et de plusieurs boucles conditionnelles imbriquées, décomposition en plusieurs sous-problèmes.</t>
    </r>
  </si>
  <si>
    <t xml:space="preserve">Imaginer, synthétiser, formaliser et respecter une procédure, un protocole. </t>
  </si>
  <si>
    <t xml:space="preserve"> Mesurer des grandeurs de manière directe ou indirecte. </t>
  </si>
  <si>
    <t xml:space="preserve"> Identifier le(s) matériau(x), les flux d’énergie et d’information dans le cadre d’une production technique sur un objet et décrire les transformations qui s’opèrent.</t>
  </si>
  <si>
    <t xml:space="preserve"> S’approprier un cahier des charges.</t>
  </si>
  <si>
    <t xml:space="preserve"> Imaginer des solutions en réponse au besoin.</t>
  </si>
  <si>
    <t xml:space="preserve"> Imaginer, concevoir et programmer des applications informatiques nomades.</t>
  </si>
  <si>
    <t xml:space="preserve">Ressources </t>
  </si>
  <si>
    <t>CS 5.6</t>
  </si>
  <si>
    <t>CS 5.7</t>
  </si>
  <si>
    <t>CS 1.5</t>
  </si>
  <si>
    <t>CS 1.6</t>
  </si>
  <si>
    <t>CS 1.7</t>
  </si>
  <si>
    <t>CS 1.8</t>
  </si>
  <si>
    <t>Les compétences suivantes, spécifiques au programme de technologie, ne sont pas citées dans le tableau des compétences travaillées mais elles permettent néanmoins de travailler certaines compétences du socle commun.</t>
  </si>
  <si>
    <t>Nombre d'itérations de la compétence</t>
  </si>
  <si>
    <t>Connaissances</t>
  </si>
  <si>
    <t xml:space="preserve">Représentation fonctionnelle des systèmes. </t>
  </si>
  <si>
    <t xml:space="preserve">Imaginer, synthétiser et formaliser une procédure, un protocole. </t>
  </si>
  <si>
    <t xml:space="preserve">Besoin, contraintes, normalisation. </t>
  </si>
  <si>
    <t xml:space="preserve">Principaux éléments d’un cahier des charges. </t>
  </si>
  <si>
    <t xml:space="preserve">Outils numériques de présentation. </t>
  </si>
  <si>
    <t xml:space="preserve">Design. </t>
  </si>
  <si>
    <t xml:space="preserve">Innovation et créativité. </t>
  </si>
  <si>
    <t xml:space="preserve">Veille. </t>
  </si>
  <si>
    <t xml:space="preserve">Représentation de solutions (croquis, schémas, algorithmes). </t>
  </si>
  <si>
    <t xml:space="preserve">L’évolution des objets. </t>
  </si>
  <si>
    <t xml:space="preserve">Impacts sociétaux et environnementaux dus aux objets. </t>
  </si>
  <si>
    <t xml:space="preserve">Cycle de vie. </t>
  </si>
  <si>
    <t xml:space="preserve">Croquis à main levée. </t>
  </si>
  <si>
    <t xml:space="preserve">Différents schémas. </t>
  </si>
  <si>
    <t xml:space="preserve">Carte heuristique. </t>
  </si>
  <si>
    <t xml:space="preserve">Procédures, protocoles. </t>
  </si>
  <si>
    <t xml:space="preserve">Structure des systèmes. </t>
  </si>
  <si>
    <t xml:space="preserve">Familles de matériaux avec leurs principales caractéristiques. </t>
  </si>
  <si>
    <t xml:space="preserve">Sources d’énergies. </t>
  </si>
  <si>
    <t xml:space="preserve">Chaîne d’énergie. </t>
  </si>
  <si>
    <t xml:space="preserve">Instruments de mesure usuels. </t>
  </si>
  <si>
    <t xml:space="preserve">Principe de fonctionnement d’un capteur, d’un codeur, d’un détecteur. </t>
  </si>
  <si>
    <t xml:space="preserve">Nature du signal : analogique ou numérique. </t>
  </si>
  <si>
    <t xml:space="preserve">Outils de description d’un fonctionnement, d’une structure et d’un comportement. </t>
  </si>
  <si>
    <t xml:space="preserve">Composants d'un réseau, architecture d'un réseau local, moyens de connexion d’un moyen informatique. </t>
  </si>
  <si>
    <t xml:space="preserve">Notions d’algorithme et de programme. </t>
  </si>
  <si>
    <t xml:space="preserve">Notion de variable informatique. </t>
  </si>
  <si>
    <t xml:space="preserve">Déclenchement d'une action par un événement, séquences d'instructions, boucles, instructions conditionnelles. </t>
  </si>
  <si>
    <t xml:space="preserve">Systèmes embarqués. </t>
  </si>
  <si>
    <t xml:space="preserve">Forme et transmission du signal. </t>
  </si>
  <si>
    <t xml:space="preserve">Problématique </t>
  </si>
  <si>
    <t>Éléments pour la synthèse de la séquence (objectifs)</t>
  </si>
  <si>
    <t>Piste d'évaluation</t>
  </si>
  <si>
    <t xml:space="preserve">Réalité augmentée. </t>
  </si>
  <si>
    <t>MSOST.2.2.1</t>
  </si>
  <si>
    <t>IP.1.1</t>
  </si>
  <si>
    <t>Comprendre le fonctionnement d'un réseau informatique</t>
  </si>
  <si>
    <t>Liens possibles avec les EPI ou les parcours (Avenir, Citoyen, PEAC)</t>
  </si>
  <si>
    <t>organisées en 7 parties, CT1.1 à CT7.2 (colonne B)</t>
  </si>
  <si>
    <t>Connaissances associées aux compétences</t>
  </si>
  <si>
    <t>Séquences en attente de placement</t>
  </si>
  <si>
    <t xml:space="preserve">► Mesurer des grandeurs de manière directe ou indirecte. </t>
  </si>
  <si>
    <t xml:space="preserve">► Rechercher des solutions techniques à un problème posé, expliciter ses choix et les communiquer en argumentant. </t>
  </si>
  <si>
    <t xml:space="preserve">► Imaginer, synthétiser, formaliser et respecter une procédure, un protocole. </t>
  </si>
  <si>
    <t>► Identifier le(s) matériau(x), les flux d’énergie et d’information dans le cadre d’une production technique sur un objet et décrire les transformations qui s’opèrent.</t>
  </si>
  <si>
    <t>► S’approprier un cahier des charges.</t>
  </si>
  <si>
    <t>► Associer des solutions techniques à des fonctions.</t>
  </si>
  <si>
    <t>► Imaginer des solutions en réponse au besoin.</t>
  </si>
  <si>
    <t>► Réaliser, de manière collaborative, le prototype de tout ou partie d’un objet pour valider une solution.</t>
  </si>
  <si>
    <t>► Imaginer, concevoir et programmer des applications informatiques nomades.</t>
  </si>
  <si>
    <t>► Exprimer sa pensée à l’aide d’outils de description adaptés : croquis, schémas, graphes, diagrammes, tableaux (représentations non normées).</t>
  </si>
  <si>
    <t>► Traduire, à l’aide d’outils de représentation numérique, des choix de solutions sous forme de croquis, de dessins ou de schémas.</t>
  </si>
  <si>
    <t>► Présenter à l’oral et à l’aide de supports numériques multimédia des solutions techniques au moment des revues de projet.</t>
  </si>
  <si>
    <t>► Décrire, en utilisant les outils et langages de descriptions adaptés, la structure et le comportement des objets.</t>
  </si>
  <si>
    <t>► Appliquer les principes élémentaires de l’algorithmique et du codage à la résolution d’un problème simple.</t>
  </si>
  <si>
    <t>► Analyser l’impact environnemental d’un objet et de ses constituants.</t>
  </si>
  <si>
    <t>► Simuler numériquement la structure et/ou le comportement d’un objet.</t>
  </si>
  <si>
    <t>► Organiser, structurer et stocker des ressources numériques.</t>
  </si>
  <si>
    <t>► Lire, utiliser et produire des représentations numériques d’objets.</t>
  </si>
  <si>
    <t>► Piloter un système connecté localement ou à distance.</t>
  </si>
  <si>
    <t>► Modifier ou paramétrer le fonctionnement d’un objet communicant.</t>
  </si>
  <si>
    <r>
      <rPr>
        <sz val="9"/>
        <color rgb="FF00000A"/>
        <rFont val="Calibri"/>
        <family val="2"/>
      </rPr>
      <t>►</t>
    </r>
    <r>
      <rPr>
        <sz val="8.1"/>
        <color rgb="FF00000A"/>
        <rFont val="Calibri"/>
        <family val="2"/>
      </rPr>
      <t xml:space="preserve"> </t>
    </r>
    <r>
      <rPr>
        <sz val="10"/>
        <color rgb="FF00000A"/>
        <rFont val="Calibri"/>
        <family val="2"/>
      </rPr>
      <t>Participer à l’organisation et au déroulement de projets.</t>
    </r>
  </si>
  <si>
    <r>
      <t>►</t>
    </r>
    <r>
      <rPr>
        <sz val="9"/>
        <color theme="1"/>
        <rFont val="Calibri"/>
        <family val="2"/>
      </rPr>
      <t xml:space="preserve"> </t>
    </r>
    <r>
      <rPr>
        <sz val="10"/>
        <color theme="1"/>
        <rFont val="Calibri"/>
        <family val="2"/>
      </rPr>
      <t>Identifier un besoin et énoncer un problème technique, identifier les conditions, contraintes (normes et règlements) et ressources correspondantes.</t>
    </r>
  </si>
  <si>
    <t>► Regrouper des objets en familles et lignées.</t>
  </si>
  <si>
    <t xml:space="preserve">► Relier les évolutions technologiques aux inventions et innovations qui marquent des ruptures dans les solutions techniques. </t>
  </si>
  <si>
    <t>► Respecter une procédure de travail garantissant un résultat en respectant les règles de sécurité et d’utilisation des outils mis à disposition.</t>
  </si>
  <si>
    <t>► Analyser le fonctionnement et la structure d’un objet, identifier les entrées et sorties.</t>
  </si>
  <si>
    <t>► Interpréter des résultats expérimentaux, en tirer une conclusion et la communiquer en argumentant.</t>
  </si>
  <si>
    <t>► Utiliser une modélisation pour comprendre, formaliser, partager, construire, investiguer, prouver.</t>
  </si>
  <si>
    <t>► Analyser le comportement attendu d’un système réel et décomposer le problème posé en sous-problèmes afin de structurer un programme de commande.</t>
  </si>
  <si>
    <t>Contexte de l'enseignement</t>
  </si>
  <si>
    <t xml:space="preserve">Progression pédagogique technologie cycle 4  </t>
  </si>
  <si>
    <t>NOTICE - PROGRESSION PÉDAGOGIQUE CYCLE 4 - TECHNOLOGIE</t>
  </si>
  <si>
    <t>La plage de cellules D-G/2-36 précise le croisement des compétences travaillées avec celles des thématiques (des infos bulles facilitent la lecture).</t>
  </si>
  <si>
    <t>Cet onglet permet de croiser les problématiques avec les compétences.</t>
  </si>
  <si>
    <t>La colonne A propose une liste non exhaustive de thèmes.</t>
  </si>
  <si>
    <t>La colonne B propose une liste non exhaustive de problématiques.</t>
  </si>
  <si>
    <t>Remarque : un projet commence toujours par une problématique.</t>
  </si>
  <si>
    <t>La colonne E indique automatiquement le nombre de compétences travaillées.</t>
  </si>
  <si>
    <t>La ligne 3 indique automatiquement le nombre de séquences pendant lesquelles la compétence est travaillée.</t>
  </si>
  <si>
    <t>Les colonnes A à G indiquent les compétences du programme.</t>
  </si>
  <si>
    <t>La colonne H précise automatiquement le nombre de fois où la compétence est travaillée sur le cycle.</t>
  </si>
  <si>
    <t>La plage de cellules I-AL/3 indique automatiquement les problématiques choisies.</t>
  </si>
  <si>
    <t>La plage de cellules I-AL/9-46  indique automatiquement les compétences ciblées.</t>
  </si>
  <si>
    <t>La ligne 4 précise la chronologie des séquences sur le cycle.</t>
  </si>
  <si>
    <r>
      <t xml:space="preserve">4) l'onglet </t>
    </r>
    <r>
      <rPr>
        <i/>
        <sz val="11"/>
        <color rgb="FF000000"/>
        <rFont val="Calibri"/>
        <family val="2"/>
      </rPr>
      <t>Progression_Cycle4</t>
    </r>
    <r>
      <rPr>
        <sz val="11"/>
        <color rgb="FF000000"/>
        <rFont val="Calibri"/>
        <family val="2"/>
      </rPr>
      <t xml:space="preserve"> s'étant construit automatiquement, vérifier si toutes les compétences sont travaillées sur le cycle ;</t>
    </r>
  </si>
  <si>
    <t>Participation de la technologie aux challenges et concours</t>
  </si>
  <si>
    <t>Participation de la technologie à l'accompagnement personnalisé</t>
  </si>
  <si>
    <t xml:space="preserve">Participation de la technologie aux enseignements pratiques interdisciplinaires </t>
  </si>
  <si>
    <t>Nbre de classes</t>
  </si>
  <si>
    <t>Collège ……………………….…………. Ville………………………..…….</t>
  </si>
  <si>
    <t>repérées CS1.5 à CS5.7 (colonne B)</t>
  </si>
  <si>
    <t>repérées DIC.1.1.1… (colonne K)</t>
  </si>
  <si>
    <t>Réaliser, de manière collaborative, le prototype d’un objet pour valider une solution.</t>
  </si>
  <si>
    <t>Identifier un besoin (biens matériels ou services) et énoncer un problème technique.</t>
  </si>
  <si>
    <t>Une fiche séquence permet de décrire précisément le déroulement de la séquence.</t>
  </si>
  <si>
    <t>Cet onglet décrit la progression sur les trois années du cycle 4.</t>
  </si>
  <si>
    <t>3) construire la progression en déplaçant les étiquettes de la colonne C vers la colonne D ;</t>
  </si>
  <si>
    <r>
      <t xml:space="preserve">5) sinon retourner dans l'onglet </t>
    </r>
    <r>
      <rPr>
        <i/>
        <sz val="11"/>
        <color rgb="FF000000"/>
        <rFont val="Calibri"/>
        <family val="2"/>
      </rPr>
      <t>Problématiques_compétences</t>
    </r>
    <r>
      <rPr>
        <sz val="11"/>
        <color rgb="FF000000"/>
        <rFont val="Calibri"/>
        <family val="2"/>
      </rPr>
      <t xml:space="preserve"> et choisir une autre problématique ou modifier les compétences travaillées d'une problématique.</t>
    </r>
  </si>
  <si>
    <t>Il s'appuie sur les paragraphes 3 et 5 du document relatif aux intentions pédagogiques et aux indications didactiques en technologie au cycle 4.</t>
  </si>
  <si>
    <t>Cet onglet d'introduction présente le contexte de l'enseignement de la Technologie dans l'établissement.</t>
  </si>
  <si>
    <t>Le programme est présenté dans cet onglet selon trois volets : les domaines du socle commun, les compétences travaillées sur le cycle et les compétences disciplinaires.</t>
  </si>
  <si>
    <t>La colonne D reçoit les étiquettes de séquence. C'est cette colonne qui sera à l'origine de la création de la chronologie de la progression.</t>
  </si>
  <si>
    <t>La plage de colonnes F à Ak indique les compétences travaillées par problématique (4 au maximum). Elles doivent être renseignées par un caractère (x).</t>
  </si>
  <si>
    <t>Elle se construit automatiquement à partir des renseignements de l'onglet problématiques-compétences.</t>
  </si>
  <si>
    <t>► Développer les bonnes pratiques de l’usage des objets communicants.</t>
  </si>
  <si>
    <t>► Analyser le cycle de vie d’un objet.</t>
  </si>
  <si>
    <t>► Comprendre le fonctionnement d’un réseau informatique.</t>
  </si>
  <si>
    <r>
      <t xml:space="preserve">Les objectifs de formation du cycle 4 en technologie s’organisent autour de </t>
    </r>
    <r>
      <rPr>
        <b/>
        <sz val="11"/>
        <color theme="1"/>
        <rFont val="Arial"/>
        <family val="2"/>
      </rPr>
      <t>trois grandes thématiques </t>
    </r>
    <r>
      <rPr>
        <sz val="11"/>
        <color theme="1"/>
        <rFont val="Arial"/>
        <family val="2"/>
      </rPr>
      <t xml:space="preserve">issues de trois dimensions </t>
    </r>
    <r>
      <rPr>
        <b/>
        <sz val="11"/>
        <color theme="1"/>
        <rFont val="Arial"/>
        <family val="2"/>
      </rPr>
      <t xml:space="preserve"> : le design, l’innovation, la créativité </t>
    </r>
    <r>
      <rPr>
        <sz val="11"/>
        <color theme="1"/>
        <rFont val="Arial"/>
        <family val="2"/>
      </rPr>
      <t xml:space="preserve">; </t>
    </r>
    <r>
      <rPr>
        <b/>
        <sz val="11"/>
        <color theme="1"/>
        <rFont val="Arial"/>
        <family val="2"/>
      </rPr>
      <t>les objets techniques, les services et les changements induits dans la société ; la modélisation et la simulation des objets techniques. Un enseignement d’informatique est dispensé à la fois dans le cadre des mathématiques et de la technologie (considéré comme une 4</t>
    </r>
    <r>
      <rPr>
        <b/>
        <vertAlign val="superscript"/>
        <sz val="11"/>
        <color theme="1"/>
        <rFont val="Arial"/>
        <family val="2"/>
      </rPr>
      <t>e</t>
    </r>
    <r>
      <rPr>
        <b/>
        <sz val="11"/>
        <color theme="1"/>
        <rFont val="Arial"/>
        <family val="2"/>
      </rPr>
      <t xml:space="preserve"> thématique)</t>
    </r>
  </si>
  <si>
    <t>Évolution-description</t>
  </si>
  <si>
    <t>Analyser le cycle de vie d’un objet.</t>
  </si>
  <si>
    <t xml:space="preserve">Pour générer les séquences d'une progression pédagogique : </t>
  </si>
  <si>
    <t>2) renommer l'onglet de la feuille ainsi créée du numéro de la séquence (par exemple S4) (double-cliquer sur l'onglet pour modifier son nom) ;</t>
  </si>
  <si>
    <t>3) saisir son numéro dans les cellules A1-2, ici S4. Les cellules bleutées se remplissent automatiquement ;</t>
  </si>
  <si>
    <t>4) compléter manuellement la fiche séquence (zone blanche) pour décrire la séquence ;</t>
  </si>
  <si>
    <t>5) réitérer cette opération pour chacune des séquences (l'outil est limité à un maximum de 30 séquences).</t>
  </si>
  <si>
    <t xml:space="preserve">Générateur de séquence </t>
  </si>
  <si>
    <r>
      <t xml:space="preserve">1) compléter l'onglet </t>
    </r>
    <r>
      <rPr>
        <i/>
        <sz val="11"/>
        <color rgb="FF000000"/>
        <rFont val="Calibri"/>
        <family val="2"/>
      </rPr>
      <t>Contexte de l'enseignement</t>
    </r>
    <r>
      <rPr>
        <sz val="11"/>
        <color rgb="FF000000"/>
        <rFont val="Calibri"/>
        <family val="2"/>
      </rPr>
      <t xml:space="preserve"> pour préciser le contexte de l'établissement et de la discipline ;</t>
    </r>
  </si>
  <si>
    <r>
      <t xml:space="preserve">1) cliquer bouton droit sur l'onglet </t>
    </r>
    <r>
      <rPr>
        <i/>
        <sz val="11"/>
        <color rgb="FF000000"/>
        <rFont val="Calibri"/>
        <family val="2"/>
      </rPr>
      <t>Générateur de séquences</t>
    </r>
    <r>
      <rPr>
        <sz val="11"/>
        <color rgb="FF000000"/>
        <rFont val="Calibri"/>
        <family val="2"/>
      </rPr>
      <t>, sélectionner "</t>
    </r>
    <r>
      <rPr>
        <i/>
        <sz val="11"/>
        <color rgb="FF000000"/>
        <rFont val="Calibri"/>
        <family val="2"/>
      </rPr>
      <t>Déplacer ou copier...</t>
    </r>
    <r>
      <rPr>
        <sz val="11"/>
        <color rgb="FF000000"/>
        <rFont val="Calibri"/>
        <family val="2"/>
      </rPr>
      <t>" puis "</t>
    </r>
    <r>
      <rPr>
        <i/>
        <sz val="11"/>
        <color rgb="FF000000"/>
        <rFont val="Calibri"/>
        <family val="2"/>
      </rPr>
      <t>(en dernier)</t>
    </r>
    <r>
      <rPr>
        <sz val="11"/>
        <color rgb="FF000000"/>
        <rFont val="Calibri"/>
        <family val="2"/>
      </rPr>
      <t>" et cocher "</t>
    </r>
    <r>
      <rPr>
        <i/>
        <sz val="11"/>
        <color rgb="FF000000"/>
        <rFont val="Calibri"/>
        <family val="2"/>
      </rPr>
      <t>Créer une copie</t>
    </r>
    <r>
      <rPr>
        <sz val="11"/>
        <color rgb="FF000000"/>
        <rFont val="Calibri"/>
        <family val="2"/>
      </rPr>
      <t>"  ;</t>
    </r>
  </si>
  <si>
    <t>Cette feuille comporte des liens permettant de générer les séquences. Cette feuille sera copiée autant de fois que nécessaire pour construire les fiches de séquences.</t>
  </si>
  <si>
    <t>Prérequis</t>
  </si>
  <si>
    <t>La ligne 2 précise les séquences de projet. Elles sont notées P et incluent la problématique les précédant.</t>
  </si>
  <si>
    <t>La plage I-L/1-93 présente les compétences et les connaissances du programme par thématique ainsi que les attendus de fin de cycle.</t>
  </si>
  <si>
    <t>Seule la ligne 6 est à renseigner si la séquence est en lien  avec les enseignements pratiques interdisciplinaires  (EPI) - Aucune autre intervention ne doit être faite dans cet onglet.</t>
  </si>
  <si>
    <r>
      <t xml:space="preserve">2) renseigner l'onglet </t>
    </r>
    <r>
      <rPr>
        <i/>
        <sz val="11"/>
        <color rgb="FF000000"/>
        <rFont val="Calibri"/>
        <family val="2"/>
      </rPr>
      <t>Problématiques_compétences</t>
    </r>
    <r>
      <rPr>
        <sz val="11"/>
        <color rgb="FF000000"/>
        <rFont val="Calibri"/>
        <family val="2"/>
      </rPr>
      <t xml:space="preserve"> ; lister les problématiques et choisir les compétences principales qui seront travaillées dans chacune d'entre elles ;</t>
    </r>
  </si>
  <si>
    <t>La colonne C contient les étiquettes de séquences (S1, S2, S3…) en attente. Il faut les déplacer dans la colonne D en face de la problématique choisie.</t>
  </si>
  <si>
    <t>1) Stabilité d'une structure</t>
  </si>
  <si>
    <t>2) Franchir un obstacle</t>
  </si>
  <si>
    <t>3) Assurer le confort dans un milieu urbain</t>
  </si>
  <si>
    <t>4) Programmer un objet</t>
  </si>
  <si>
    <t>5) Découvrir son environnement</t>
  </si>
  <si>
    <t>6) Se déplacer sur terre, air, mer</t>
  </si>
  <si>
    <t>7) Préserver les ressources (économiser l'énergie et préserver l'environnement)</t>
  </si>
  <si>
    <t>9) Aménager un espace</t>
  </si>
  <si>
    <t>10) Préserver la santé et aider l'homme</t>
  </si>
  <si>
    <t>Pourquoi une construction treillis permet-elle de franchir un obstacle sans danger ?</t>
  </si>
  <si>
    <t>s1</t>
  </si>
  <si>
    <t>x</t>
  </si>
  <si>
    <t xml:space="preserve">Etude comparative de différentes structures treillis. Utilisation d'outils numériques de simulation d'efforts. Validation d'un choix de structure puis réalisation d'un pont à structure treillis </t>
  </si>
  <si>
    <t xml:space="preserve">Photos de constructions utilisant la structure treillis </t>
  </si>
  <si>
    <t>Le choix de la structure dite "en treillis" repose sur les paramètres suivants : charge et portée du tablier du pont, formes géométriques de la structure treillis. Ces paramètres doivent garantir la stabilité d'une structure.</t>
  </si>
  <si>
    <t>Dessins, croquis élèves et équipes - les solutions techniques mises en œuvre - conception et réalisation de la maquette de pont</t>
  </si>
  <si>
    <t xml:space="preserve"> 5ème séquence 1 </t>
  </si>
  <si>
    <t xml:space="preserve">Parcours avenir : les métiers des travaux publics - de l'ingénierie </t>
  </si>
  <si>
    <t xml:space="preserve">Quelle forme géométrique utilise-t-on dans les ponts à structure métallique ? </t>
  </si>
  <si>
    <t xml:space="preserve">Comment concevoir et tester une maquette numérique d'un pont ferroviaire ? </t>
  </si>
  <si>
    <t xml:space="preserve">Conception et réalisation d'une maquette de pont à structure treillis </t>
  </si>
  <si>
    <t>Manipulations afin de trouver la forme géométrique qui permet de garantir une bonne stabilité à ces structures</t>
  </si>
  <si>
    <t>Manipulation afin de réaliser différentes constructions de poutres en treillis - Utilisation du logiciel Bridge Building Game</t>
  </si>
  <si>
    <t xml:space="preserve">Fabrication de la maquette du pont </t>
  </si>
  <si>
    <t xml:space="preserve">Démarche d'investigation </t>
  </si>
  <si>
    <t xml:space="preserve">Démarche de résolution de problème technique </t>
  </si>
  <si>
    <t xml:space="preserve">Démarche de projet </t>
  </si>
  <si>
    <t>La solidité ou résistance à l'effort d'un pont ou d'un ouvrage est satisfaisante si la structure est suffisamment rigide. Tous les assemblages testés ne permettent pas la stabilité du tablier. Un seul assemblage élémentaire simple s'avère très stable : le triangle</t>
  </si>
  <si>
    <t xml:space="preserve">La simulation numérique permet de montrer les parties du pont qui sont contraintes aux efforts demandés - Les ponts ou les bâtiments sont soumis principalement à plusieurs types d'efforts : la flexion, la compression et la traction. </t>
  </si>
  <si>
    <t xml:space="preserve">Vérification en charge, de la résistance à la flexion de la maquette du pont </t>
  </si>
  <si>
    <t>Banc d'essai poutres en treillis</t>
  </si>
  <si>
    <t>Banc d'essai poutres en treillis - logiciel Bridge Building Game</t>
  </si>
  <si>
    <t>Matériel de fabrication du pont</t>
  </si>
  <si>
    <t>Comment intégrer un ouvrage dans son environnement ?</t>
  </si>
  <si>
    <t>s2</t>
  </si>
  <si>
    <t xml:space="preserve">A partir du contexte Canal Seine Nord existant, déterminer des solutions pour le franchissement d'obstacles. Les ponts seront choisis en fonction des contraintes imposées et du choix des matériaux. Il est donc nécessaire de tenir compte de tous ces paramètres pour concevoir nos ponts. La partie modélisation 3D apporte un regard sur le design de l'ouvrage et conforte les ingénieurs dans leurs calculs grâce aux simulations d'efforts. </t>
  </si>
  <si>
    <t xml:space="preserve">La carte du futur tracé du Canal Seine Nord. Le canal passe sur de nombreuses voies de communication. Comment faire pour éviter tous ces croisements ? </t>
  </si>
  <si>
    <t>Chaque ouvrage se caractérise par un ensemble de choix : choix de solutions techniques, choix environnementaux, choix des matériaux, respect du prix etc…</t>
  </si>
  <si>
    <t xml:space="preserve">Le pont choisi par l'équipe sous forme de croquis côté respecte le lieu et les contraintes environnementales.La modélisation numérique doit respecter le lieu et les contraintes dimensionnelles. L'interprétation des résultats de la modélisation aide au choix. La justification du choix d'une solution pour les fondations est argumentée. </t>
  </si>
  <si>
    <t xml:space="preserve">5ème </t>
  </si>
  <si>
    <t xml:space="preserve">Comment une voie de communication peut en franchir une autre ? </t>
  </si>
  <si>
    <t xml:space="preserve">Comment créer et intégrer un pont virtuel sur le tracé du futur canal ? </t>
  </si>
  <si>
    <t xml:space="preserve">Comment s'assurer de la stabilité de l'ouvrage par rapport à son emplacement ? </t>
  </si>
  <si>
    <t xml:space="preserve">À partir de la carte du tracé, relever les différents obstacles à franchir. Identifier les moyens de franchissements possibles pour chacun des types d'obstacles. Retenir une solution - Identifier les différents types de pont. </t>
  </si>
  <si>
    <t xml:space="preserve">A partir des contraintes dimensionnelles imposées par les voies de communication navigables, chaque équipe définit les dimensions de son pont et réalise un croquis côté d'une solution, puis réalise la modélisation de façon simplifiée de la solution retenue du pont par l'équipe. </t>
  </si>
  <si>
    <t xml:space="preserve">Questionnement autour de la stabilité de l'ouvrage - Mise en évidence de plusieurs idées dont celle de l'importance de la masse de l'ouvrage, de ses appuis sur le sol et de la nature du sol. </t>
  </si>
  <si>
    <t>Démarche d'investigation</t>
  </si>
  <si>
    <t>Les différents types de pont - les points forts et les points faibles de chaque type de pont, les impacts socio-économiques.</t>
  </si>
  <si>
    <t xml:space="preserve">Notion de contrainte -  Apport de la modélisation 3D </t>
  </si>
  <si>
    <t>La stabilité des ouvrages est aussi dûe à leur positionnement. Les fondations seront dimensionnées par des spécialistes et tiendront compte de la répartition des charges sur celui-ci et de la nature du sol.</t>
  </si>
  <si>
    <t xml:space="preserve">La carte du futur tracé - Maquettes de differents types de pont </t>
  </si>
  <si>
    <t>document ressource : les contraintes dimensionnelles imposées par les voies de communication navigables.</t>
  </si>
  <si>
    <t>Maquette de pont - Logiciel Force Effect d'autodesk</t>
  </si>
  <si>
    <t>Comment franchir un obstacle sans danger ?</t>
  </si>
  <si>
    <t>s3</t>
  </si>
  <si>
    <t>Suite à la lecture d'un article de journal  relatant un accident de train. Les élèves poseront une réflexion sur l'évolution des technologies liées à la sécurité. Il observeront et automatiseront un passage à niveau (programmation Arduino)</t>
  </si>
  <si>
    <t>Article de journal et Animation freinage train</t>
  </si>
  <si>
    <t>Etre capble de comprendre l'impact des évolutions technologique et premières notions d'algorithme et programmation</t>
  </si>
  <si>
    <t>Voir évaluation ( repérer les capteurs et actionneurs, comprendre des morceaux de programmes, exploitation d'un petit texte montrant l'évolution des systèmes).</t>
  </si>
  <si>
    <t>Les métiers de la SNCF</t>
  </si>
  <si>
    <t>Pourquoi y a-t-il eu un accident  ?quels éléments ont permis aux passages à niveaux d’évoluer ?</t>
  </si>
  <si>
    <t>Comment simuler le fonctionnement d'un passage à niveau ?</t>
  </si>
  <si>
    <t xml:space="preserve">A la maison :
1°) les élèves lisent l’article de journal : La une de Sud-Ouest   et regardent l’animation proposée la distance de freinage
Que s’est-il passé ? Quels peuvent être la ou les causes de cet accident ?
2°) Avec l’aide de tes parents ou grands-parents dresse une liste de quelques métiers maintenant disparus
Retour sur le travail préparatoire :
On revient sur les causes de l’accident et on dresse une liste de métiers maintenant disparus.
On pose ensuite la question : pourquoi ont-ils disparu ? étudions le cas des gardes-barrières
En groupe, les élèves répondent aux questions du document : travail séance 1
2 élèves sur les 2 premiers documents ressources et 2 élèves sur les 2 autres documents ressources
Proposer aux élèves le bilan de l’activité : frise chronologique BILAN x2
Présenter l’Arduino et le Grove présentation arduino et grove et la maquette présentation de la maquette plastifiée
</t>
  </si>
  <si>
    <t>On revient rapidement sur la Présentation de la maquette, des valises de composants, de la carte Arduino
Présentation arduino et grove
Présentation de la maquette
Les kits valisette sont préparés et les logiciels installés sur les postes
Voir dossier : « A faire avant le début de séance »
Les élèves récupèrent les fichiers de travail et lancent : « passage à  niveau et Arduino »
Le travail est fait en groupe en suivant le document d'activité :
- Activité 1 : Découverte et utilisation d'une maquette programmable
Mise en place du matériel sur la maquette
Branchement et initialisation de la carte Arduino
Test de deux programmes et explication de leur fonctionnement dans le cahier.</t>
  </si>
  <si>
    <t>Activité 2 : Description du fonctionnement du passage à niveau
Lecture d'une vidéo montrant le fonctionnement d'un passage à niveau
Rédaction de l'algorithme correspondant à ce fonctionnement. Pour cette partie distribuer le document réponse : « document réponse 1 »
- Activité 3 : Simulation du fonctionnement du passage à niveau
Les élèves modifient un programme en déplaçant des blocs afin de simuler le fonctionnement du passage à niveau. Ce fonctionnement doit correspondre à l'algorithme du document réponses 1
Pour les plus rapides la possibilité d'ajouter un buzzer est offerte.AD27</t>
  </si>
  <si>
    <t>Reflexion investigation</t>
  </si>
  <si>
    <t>Investigation</t>
  </si>
  <si>
    <t>Investigation et résolution de pb</t>
  </si>
  <si>
    <t>Bilan sur l'automatisation /à l'évolution des métiers</t>
  </si>
  <si>
    <t>Bilan sur la première utilisation d'une carte Arduino</t>
  </si>
  <si>
    <t>Bilan sur l'ensemble du travail et structuration</t>
  </si>
  <si>
    <t>Ressources</t>
  </si>
  <si>
    <t>Pour préparer: article de presse et animation freinage. Dossier de travail.</t>
  </si>
  <si>
    <t>Dossier de travail, Valisette Arduino / groupe</t>
  </si>
  <si>
    <t>Comment penser l'aménagement d'un conteneur maritime pour en faire une habitation pour étudiant ?</t>
  </si>
  <si>
    <t>s4</t>
  </si>
  <si>
    <t>Comment rendre une vue aérienne interactive ?</t>
  </si>
  <si>
    <t>s5</t>
  </si>
  <si>
    <t>Mise en évidence des différentes approches que l'on peut avoir sur un lieu ou un objet ainsi que sur les notions de base de la programmation sous Scratch (boucles, instruction conditionnelle).</t>
  </si>
  <si>
    <t>Classe de 5ème</t>
  </si>
  <si>
    <t>Démarche de résolution de problèmes.</t>
  </si>
  <si>
    <r>
      <rPr>
        <b/>
        <sz val="12"/>
        <color rgb="FF000000"/>
        <rFont val="Calibri-Bold"/>
      </rPr>
      <t xml:space="preserve">Lancement : </t>
    </r>
    <r>
      <rPr>
        <sz val="12"/>
        <color rgb="FF000000"/>
        <rFont val="Calibri"/>
        <family val="2"/>
      </rPr>
      <t>Projection de la diapositive ‘’</t>
    </r>
    <r>
      <rPr>
        <b/>
        <sz val="12"/>
        <color rgb="FF000000"/>
        <rFont val="Calibri-Bold"/>
      </rPr>
      <t>Arrivée au collège</t>
    </r>
    <r>
      <rPr>
        <sz val="12"/>
        <color rgb="FF000000"/>
        <rFont val="Calibri"/>
        <family val="2"/>
      </rPr>
      <t xml:space="preserve">’’. Les élèves la commentent en classe entière et proposent des solutions par
groupe. Elles sont ensuite restituées à l’oral et notées au tableau.
</t>
    </r>
  </si>
  <si>
    <t>Un nouvel élève arrive au collège...Comment l’aider à découvrir les lieux ?</t>
  </si>
  <si>
    <t>Une évaluation formative est privilégiée tout au long des activités. Les compétences «Appliquer les principes élémentaires de
l'algorithmique...» et «Imaginer, concevoir et programmer...» sont soumises à validation.</t>
  </si>
  <si>
    <t>La partie découverte du collège, de ses lieux et leurs descriptions par des textes sera réalisée par le professeur de Français et pourquoi pas avec le professeur d’anglais dans le cadre d’un EPI.</t>
  </si>
  <si>
    <t>Description des lieux à intégrer au scénario de découverte du collège</t>
  </si>
  <si>
    <t>De la pensée au scénario…</t>
  </si>
  <si>
    <t>Du scénario à la programmation…</t>
  </si>
  <si>
    <r>
      <rPr>
        <sz val="12"/>
        <color rgb="FF000000"/>
        <rFont val="Calibri"/>
        <family val="2"/>
      </rPr>
      <t xml:space="preserve">Une </t>
    </r>
    <r>
      <rPr>
        <b/>
        <sz val="12"/>
        <color rgb="FF000000"/>
        <rFont val="Calibri-Bold"/>
      </rPr>
      <t xml:space="preserve">image satellite </t>
    </r>
    <r>
      <rPr>
        <sz val="12"/>
        <color rgb="FF000000"/>
        <rFont val="Calibri"/>
        <family val="2"/>
      </rPr>
      <t xml:space="preserve">du collège est projetée au tableau et les élèves énumèrent les différents lieux du collège à connaître et une liste est
notée au tableau. Chaque groupe choisit quatre lieux , qu'ils auront à décrire à l’aide d’un petit texte de 3 lignes maximum qu’ils enregistrent
grâce au logiciel </t>
    </r>
    <r>
      <rPr>
        <b/>
        <sz val="12"/>
        <color rgb="FF000000"/>
        <rFont val="Calibri-Bold"/>
      </rPr>
      <t>Audacity</t>
    </r>
    <r>
      <rPr>
        <sz val="12"/>
        <color rgb="FF000000"/>
        <rFont val="Calibri"/>
        <family val="2"/>
      </rPr>
      <t xml:space="preserve">. Ils en réaliseront un </t>
    </r>
    <r>
      <rPr>
        <b/>
        <sz val="12"/>
        <color rgb="FF000000"/>
        <rFont val="Calibri-Bold"/>
      </rPr>
      <t xml:space="preserve">diaporama </t>
    </r>
    <r>
      <rPr>
        <sz val="12"/>
        <color rgb="FF000000"/>
        <rFont val="Calibri"/>
        <family val="2"/>
      </rPr>
      <t>(photos et textes) et certains groupes présenteront à l’oral leur travail.</t>
    </r>
  </si>
  <si>
    <r>
      <rPr>
        <sz val="10"/>
        <color rgb="FF000000"/>
        <rFont val="Calibri"/>
        <family val="2"/>
      </rPr>
      <t>Après une présentation et une démonstration réalisées par le professeur du logiciel Scratch et de ses différentes composantes, les élèves
se connectent aux ordinateurs et réalisent les exercices de prise ne main et de découverte de notions qui leur serviront par la suite.
Une fois les exercices terminés, le professeur projette la vidéo ''</t>
    </r>
    <r>
      <rPr>
        <b/>
        <sz val="10"/>
        <color rgb="FF000000"/>
        <rFont val="Calibri-Bold"/>
      </rPr>
      <t>présentation du script.flv</t>
    </r>
    <r>
      <rPr>
        <sz val="10"/>
        <color rgb="FF000000"/>
        <rFont val="Calibri"/>
        <family val="2"/>
      </rPr>
      <t>'' et demande aux élèves de réfléchir et d'écrire
un scénario qui sera la suite du script présenté. Celui-ci fera, bien évidemment, appel aux notions abordées lors des exercices précédents
(déplacements d'un lutin avec les touches du clavier, faire dire quelque chose et/ou jouer un son par un lutin lorsqu'il rencontre un autre lutin,
changement de costume et changement d'arrière plan de la scène).</t>
    </r>
  </si>
  <si>
    <r>
      <rPr>
        <sz val="10"/>
        <color rgb="FF000000"/>
        <rFont val="Calibri"/>
        <family val="2"/>
      </rPr>
      <t>Les élèves réalisent la programmation de leur scénario de visite du collège grâce au logiciel Scratch et au script à compléter. Dans ce
programme ils doivent :
* Lancer le programme ''programmeacompleter.sb2''
* Placer les balles de couleur au bon endroit
* Insérer les arrières plans correspondants aux lieux à présenter
* Définir le bloc ''</t>
    </r>
    <r>
      <rPr>
        <b/>
        <i/>
        <sz val="10"/>
        <color rgb="FF000000"/>
        <rFont val="Calibri-BoldItalic"/>
      </rPr>
      <t>Déplacements de Lucie</t>
    </r>
    <r>
      <rPr>
        <sz val="10"/>
        <color rgb="FF000000"/>
        <rFont val="Calibri"/>
        <family val="2"/>
      </rPr>
      <t>''
* Définir le bloc ''</t>
    </r>
    <r>
      <rPr>
        <b/>
        <sz val="10"/>
        <color rgb="FF000000"/>
        <rFont val="Calibri-Bold"/>
      </rPr>
      <t xml:space="preserve">Description </t>
    </r>
    <r>
      <rPr>
        <b/>
        <i/>
        <sz val="10"/>
        <color rgb="FF000000"/>
        <rFont val="Calibri-BoldItalic"/>
      </rPr>
      <t>emplacements</t>
    </r>
    <r>
      <rPr>
        <sz val="10"/>
        <color rgb="FF000000"/>
        <rFont val="Calibri"/>
        <family val="2"/>
      </rPr>
      <t xml:space="preserve">'' en dupliquant et modifiant les blocs déjà présents.
</t>
    </r>
    <r>
      <rPr>
        <i/>
        <sz val="10"/>
        <color rgb="FF000000"/>
        <rFont val="Calibri-Italic"/>
      </rPr>
      <t xml:space="preserve">Ils ont en leur possession : </t>
    </r>
    <r>
      <rPr>
        <sz val="10"/>
        <color rgb="FF000000"/>
        <rFont val="Calibri"/>
        <family val="2"/>
      </rPr>
      <t>les textes manuscrits de description des différents lieux voire l'enregistrement audio, les photos correspondantes et
le début du programme sous Scratch.</t>
    </r>
  </si>
  <si>
    <t xml:space="preserve">Analyse et écriture </t>
  </si>
  <si>
    <r>
      <rPr>
        <sz val="9"/>
        <color rgb="FF000000"/>
        <rFont val="Arial"/>
        <family val="2"/>
      </rPr>
      <t xml:space="preserve">Démarche de résolution de problèmes </t>
    </r>
    <r>
      <rPr>
        <i/>
        <sz val="9"/>
        <color rgb="FF000000"/>
        <rFont val="Arial"/>
        <family val="2"/>
      </rPr>
      <t>(convertir scénario en code informatique (blocs))</t>
    </r>
    <r>
      <rPr>
        <sz val="9"/>
        <color rgb="FF000000"/>
        <rFont val="Arial"/>
        <family val="2"/>
      </rPr>
      <t xml:space="preserve"> - Investigation sur problèmes éventuels</t>
    </r>
  </si>
  <si>
    <r>
      <rPr>
        <sz val="10"/>
        <color rgb="FF000000"/>
        <rFont val="SymbolMT"/>
      </rPr>
      <t xml:space="preserve"> </t>
    </r>
    <r>
      <rPr>
        <i/>
        <sz val="10"/>
        <color rgb="FF000000"/>
        <rFont val="Calibri-Italic"/>
      </rPr>
      <t xml:space="preserve">Notion d’outils de présentation multimédia
(Libre Office Impress)
</t>
    </r>
    <r>
      <rPr>
        <sz val="10"/>
        <color rgb="FF000000"/>
        <rFont val="SymbolMT"/>
      </rPr>
      <t xml:space="preserve"> </t>
    </r>
    <r>
      <rPr>
        <i/>
        <sz val="10"/>
        <color rgb="FF000000"/>
        <rFont val="Calibri-Italic"/>
      </rPr>
      <t>Posture à adopter lors d’une présentation orale.</t>
    </r>
  </si>
  <si>
    <r>
      <rPr>
        <sz val="10"/>
        <color rgb="FF000000"/>
        <rFont val="SymbolMT"/>
      </rPr>
      <t xml:space="preserve"> </t>
    </r>
    <r>
      <rPr>
        <i/>
        <sz val="10"/>
        <color rgb="FF000000"/>
        <rFont val="Calibri-Italic"/>
      </rPr>
      <t xml:space="preserve">Notion d'algorithme
</t>
    </r>
    <r>
      <rPr>
        <sz val="10"/>
        <color rgb="FF000000"/>
        <rFont val="SymbolMT"/>
      </rPr>
      <t xml:space="preserve"> </t>
    </r>
    <r>
      <rPr>
        <i/>
        <sz val="10"/>
        <color rgb="FF000000"/>
        <rFont val="Calibri-Italic"/>
      </rPr>
      <t>Notion de programme</t>
    </r>
  </si>
  <si>
    <r>
      <rPr>
        <sz val="10"/>
        <color rgb="FF000000"/>
        <rFont val="SymbolMT"/>
      </rPr>
      <t xml:space="preserve"> </t>
    </r>
    <r>
      <rPr>
        <i/>
        <sz val="10"/>
        <color rgb="FF000000"/>
        <rFont val="Calibri-Italic"/>
      </rPr>
      <t>Notion de base de Scratch
déplacements avec les touches du clavier – Insérer un 2°
lutin – Utiliser une boucle conditionnelle (si, alors...)</t>
    </r>
  </si>
  <si>
    <r>
      <rPr>
        <sz val="10"/>
        <color rgb="FF000000"/>
        <rFont val="SymbolMT"/>
      </rPr>
      <t xml:space="preserve"> </t>
    </r>
    <r>
      <rPr>
        <b/>
        <i/>
        <sz val="10"/>
        <color rgb="FF000000"/>
        <rFont val="Calibri-BoldItalic"/>
      </rPr>
      <t xml:space="preserve">Photos </t>
    </r>
    <r>
      <rPr>
        <i/>
        <sz val="10"/>
        <color rgb="FF000000"/>
        <rFont val="Calibri-Italic"/>
      </rPr>
      <t xml:space="preserve">des différents lieux du collège
</t>
    </r>
    <r>
      <rPr>
        <sz val="10"/>
        <color rgb="FF000000"/>
        <rFont val="SymbolMT"/>
      </rPr>
      <t xml:space="preserve"> </t>
    </r>
    <r>
      <rPr>
        <b/>
        <i/>
        <sz val="10"/>
        <color rgb="FF000000"/>
        <rFont val="Calibri-BoldItalic"/>
      </rPr>
      <t xml:space="preserve">VPI
</t>
    </r>
    <r>
      <rPr>
        <sz val="10"/>
        <color rgb="FF000000"/>
        <rFont val="SymbolMT"/>
      </rPr>
      <t xml:space="preserve"> </t>
    </r>
    <r>
      <rPr>
        <b/>
        <i/>
        <sz val="10"/>
        <color rgb="FF000000"/>
        <rFont val="Calibri-BoldItalic"/>
      </rPr>
      <t xml:space="preserve">Tableau </t>
    </r>
    <r>
      <rPr>
        <i/>
        <sz val="10"/>
        <color rgb="FF000000"/>
        <rFont val="Calibri-Italic"/>
      </rPr>
      <t xml:space="preserve">collaboratif (pour répartition des lieux)
</t>
    </r>
    <r>
      <rPr>
        <sz val="10"/>
        <color rgb="FF000000"/>
        <rFont val="SymbolMT"/>
      </rPr>
      <t xml:space="preserve"> </t>
    </r>
    <r>
      <rPr>
        <i/>
        <sz val="10"/>
        <color rgb="FF000000"/>
        <rFont val="Calibri-Italic"/>
      </rPr>
      <t xml:space="preserve">Logiciel </t>
    </r>
    <r>
      <rPr>
        <b/>
        <i/>
        <sz val="10"/>
        <color rgb="FF000000"/>
        <rFont val="Calibri-BoldItalic"/>
      </rPr>
      <t xml:space="preserve">Audacity </t>
    </r>
    <r>
      <rPr>
        <i/>
        <sz val="10"/>
        <color rgb="FF000000"/>
        <rFont val="Calibri-Italic"/>
      </rPr>
      <t xml:space="preserve">installé sur les tablettes (microphone intégré)
</t>
    </r>
    <r>
      <rPr>
        <sz val="10"/>
        <color rgb="FF000000"/>
        <rFont val="SymbolMT"/>
      </rPr>
      <t xml:space="preserve"> </t>
    </r>
    <r>
      <rPr>
        <i/>
        <sz val="10"/>
        <color rgb="FF000000"/>
        <rFont val="Calibri-Italic"/>
      </rPr>
      <t xml:space="preserve">Consignes </t>
    </r>
    <r>
      <rPr>
        <b/>
        <i/>
        <sz val="10"/>
        <color rgb="FF000000"/>
        <rFont val="Calibri-BoldItalic"/>
      </rPr>
      <t>Séance 1</t>
    </r>
  </si>
  <si>
    <r>
      <rPr>
        <sz val="10"/>
        <color rgb="FF000000"/>
        <rFont val="SymbolMT"/>
      </rPr>
      <t xml:space="preserve"> </t>
    </r>
    <r>
      <rPr>
        <i/>
        <sz val="10"/>
        <color rgb="FF000000"/>
        <rFont val="Calibri-Italic"/>
      </rPr>
      <t xml:space="preserve">Ordinateurs connectés au serveur du collège et Logiciel Scratch
</t>
    </r>
    <r>
      <rPr>
        <sz val="10"/>
        <color rgb="FF000000"/>
        <rFont val="SymbolMT"/>
      </rPr>
      <t xml:space="preserve"> </t>
    </r>
    <r>
      <rPr>
        <i/>
        <sz val="10"/>
        <color rgb="FF000000"/>
        <rFont val="Calibri-Italic"/>
      </rPr>
      <t xml:space="preserve">Consignes </t>
    </r>
    <r>
      <rPr>
        <b/>
        <i/>
        <sz val="10"/>
        <color rgb="FF000000"/>
        <rFont val="Calibri-BoldItalic"/>
      </rPr>
      <t>Séance 2</t>
    </r>
  </si>
  <si>
    <r>
      <rPr>
        <sz val="10"/>
        <color rgb="FF000000"/>
        <rFont val="SymbolMT"/>
      </rPr>
      <t xml:space="preserve"> </t>
    </r>
    <r>
      <rPr>
        <b/>
        <i/>
        <sz val="10"/>
        <color rgb="FF000000"/>
        <rFont val="Calibri-BoldItalic"/>
      </rPr>
      <t xml:space="preserve">Photos </t>
    </r>
    <r>
      <rPr>
        <i/>
        <sz val="10"/>
        <color rgb="FF000000"/>
        <rFont val="Calibri-Italic"/>
      </rPr>
      <t xml:space="preserve">et bandes sons correspondants aux lieux à présenter
</t>
    </r>
    <r>
      <rPr>
        <sz val="10"/>
        <color rgb="FF000000"/>
        <rFont val="SymbolMT"/>
      </rPr>
      <t xml:space="preserve"> </t>
    </r>
    <r>
      <rPr>
        <i/>
        <sz val="10"/>
        <color rgb="FF000000"/>
        <rFont val="Calibri-Italic"/>
      </rPr>
      <t xml:space="preserve">Consignes </t>
    </r>
    <r>
      <rPr>
        <b/>
        <i/>
        <sz val="10"/>
        <color rgb="FF000000"/>
        <rFont val="Calibri-BoldItalic"/>
      </rPr>
      <t>Séance 3</t>
    </r>
  </si>
  <si>
    <t>P</t>
  </si>
  <si>
    <t>s6</t>
  </si>
  <si>
    <t>Recherches de solutions</t>
  </si>
  <si>
    <t>Réalisation</t>
  </si>
  <si>
    <t>Test et validation</t>
  </si>
  <si>
    <t>s7</t>
  </si>
  <si>
    <t>s8</t>
  </si>
  <si>
    <t>Appropriation du cahier des charges et recherche de solutions</t>
  </si>
  <si>
    <t>Cette séquence vise, en mode collaboratif, à observer le dysfonctionnement de la serre aquaponique de la salle (température ou/et hygrométrie trop élevée – panne éventuelle des pompes) et de trouver des solutions pour pallier ces problèmes.
Elle est organisée autour de 3 problématiques :
 - Comment protéger les plantes d’une serre aquaponique ?
 - Quel scénario pour gérer l'automatisation de notre serre aquaponique ?
 - Quelles formes donner aux supports des deux capteurs ajoutés sur le bac à plantes ?
Les élèves vont dans un premier temps observer la condensation et déterminer sa cause pour ensuite découvrir le but du projet, le cahier des charges et planifier son déroulement. Ils rechercheront ensuite des scénarios sous forme de logigrammes (réinvestissement séquence 5) pour piloter les volets de la serre (servomoteur), le ventilateur et la sirène à l'aide des infos des capteurs afin de rendre autonome la serre. Une recherche de formes de supports pour deux capteurs ajoutées au système existant est ensuite réalisée avec comme finalité une impression 3D.</t>
  </si>
  <si>
    <t>Observation d'une condensation importante sur le vitrage intérieur de la serre aquaponique.</t>
  </si>
  <si>
    <t>Du problème observé au cahier des charges =&gt; les étapes
La structure du système : la chaîne d'informations et la chaîne d'énergie.</t>
  </si>
  <si>
    <t>Connaissance du fonctionnement de la serre aquaponique (vu en 6ème) - Logigrammes (séquence 5)</t>
  </si>
  <si>
    <t>Comment protéger les plantes d’une serre aquaponique ?</t>
  </si>
  <si>
    <t>Quel scénario pour gérer l'automatisation de notre serre aquaponique ?</t>
  </si>
  <si>
    <t>Quelles formes donner aux supports des deux capteurs ajoutés sur le bac à plantes ?</t>
  </si>
  <si>
    <t>Rappel du fonctionnement de la serre aquaponique et intérêts.
Observation de la condensation sur le vitrage intérieur de la serre aquaponique et proposition par les élèves d’hypothèses expliquant celle-ci et vérification.
Mise en avant de l’incidence de ces excès d’humidité et/ou de chaleur pour les plantes.
Observation de la serre et mise en avant des volets existants et du ventilateur qui permettraient d'éviter cela.
Mise en avant d’autres problèmes éventuels (panne des pompes, filtres bouchés =&gt; absence d’eau).
Présentation du projet évitant ces éventuels problèmes  : 
 =&gt; Automatisation pour la sécurité des plantes de l'ouverture des volets de toit pilotée par un servomoteur et du déclenchement du ventilateur afin de renouveler l'air (saturé en humidité et/ou trop chaud) en fonction de la température et de l'humidité intérieures, mais également du déclenchement de la sirène en cas de coupure du cycle de l’eau détectée par le capteur de niveau d’eau présent en sortie du bac à plantes, tout cela à l'aide d'une interface Arduino pilotée par le logiciel Mblock.
Présentation détaillée de la serre existante (carte Arduino, capteurs et effecteurs préinstallés) et mise en avant des éléments manquants (capteurs d’hygrométrie et de température) et mise sous forme d’une carte mentale du système.
Analyse du besoin, détermination des missions du système et du travail à réaliser avec les contraintes.
Présentation sous forme de carte mentale du cahier des charges.
Réflexion en groupe sur la planification des activités sur les 6 séances allouées à ce projet.
Présentation orale rapide des propositions.
Établissement du planning de la classe.</t>
  </si>
  <si>
    <t xml:space="preserve">Retour sur le travail réalisé auparavant sur Mblock (Séquence 3 - « Comment rendre une vue aérienne interactive ? ») et sur les logigrammes (Séquence 5 : « Comment fonctionne une écluse ? »)
Démonstration de nouveaux outils présents dans le logiciel Mblock en lien avec la carte Arduino (insertion de capteurs et effecteurs extérieurs possibles) (Démo : un capteur de température et le servomoteur en direct)
Présentation des capteurs de température, d’humidité et de niveau d'eau et de leurs spécificités (valeurs).
Présentation de la commande du servomoteur (angle), du ventilateur et de la sirène (état).
Mise en groupe pour recherche du scénario de commande de la sirène, du servomoteur et du ventilateur sous forme de logigrammes.
Réalisation d'une revue de projet numérique.
</t>
  </si>
  <si>
    <t xml:space="preserve">Retour sur le cahier des charges et mise en avant des contraintes.
Affectation par groupe d'un capteur parmi les deux et recherches de solutions en groupes (2 solutions à proposer puis choix).
Echanges sur les activités à mener pour préparer la modélisation et l’impression des supports :
     - Schémas, croquis individuels
     - Maquettes carton à l'échelle 2 avec capteurs factices échelle 2 et paroi du bac
     - Choix justifié d’une solution pour le groupe
     - Cotation de la pièce retenue
Mise en groupe pour recherche de la forme des supports.
Réalisation d'une revue de projet numérique.
=&gt; Bilan de fin de séquence </t>
  </si>
  <si>
    <r>
      <t xml:space="preserve">Investigation + Réflexion sur le projet </t>
    </r>
    <r>
      <rPr>
        <i/>
        <sz val="9"/>
        <color rgb="FF000000"/>
        <rFont val="Arial"/>
        <family val="2"/>
        <charset val="1"/>
      </rPr>
      <t>(du dysfonctionnement au planning des activités)</t>
    </r>
  </si>
  <si>
    <t>Démarche de résolution de problème.</t>
  </si>
  <si>
    <t>Du problème observé au cahier des charges =&gt; les étapes</t>
  </si>
  <si>
    <t>Bilan des problèmes rencontrés</t>
  </si>
  <si>
    <t>Maquette de la serre aquaponique dans la salle en fonction + matériel divers</t>
  </si>
  <si>
    <t>Capteurs et effecteurs pour démo</t>
  </si>
  <si>
    <t>Capteurs réels et factices à l'échelle 2 + paroi du bac à plantes - carton</t>
  </si>
  <si>
    <t>Cette séquence vise, en mode collaboratif, à saisir et tester le programme de commande sous Mblock et à réaliser les supports des capteurs.
Elle est organisée autour de 3 problématiques :
  - Comment saisir notre scénario sous le logiciel Mblock ?
  - Comment saisir notre support sous le modeleur volumique Solidworks ?
  - Comment imprimer en 3D nos supports ?
Les élèves vont dans un premier temps transposer sous Mblock leur logigramme, puis saisir sous Solidworks la forme de leurs supports. Les tests du programme devrait faire apparaître une instabilité du programme que les élèves vont devoir résoudre. 
Un échange sur les matériaux utilisables pour réaliser les pièces afin de rester dans la philosophie de la serre aquaponique sera réalisé pour expliquer le choix du PLA. L'impression est ensuite réalisée pendant la fin de mise en forme des revues de projet.</t>
  </si>
  <si>
    <t>suite du projet…</t>
  </si>
  <si>
    <t>La démarche de projet - La modélisation 3D et l'impression 3D - Les logigrammes et le langage Bloc - les allers-retours entre le programme et les tests. - les caractéristiques environnementales des matériaux</t>
  </si>
  <si>
    <t>Les métiers liés à l'industrie (fab) seront présentés aux élèves dans le cadre du parcours avenir.</t>
  </si>
  <si>
    <t>Utilisation de Mblock dans séquence 3</t>
  </si>
  <si>
    <t>Comment saisir notre scénario sous le logiciel Mblock ?</t>
  </si>
  <si>
    <t>Comment saisir notre support sous le modeleur volumique Solidworks ?</t>
  </si>
  <si>
    <t>Retour sur l’utilisation de Mblock faite en séquence 3 et celle des logigrammes faite en séquence 5 et mise en avant de la nécessité de convertir les logigrammes réalisés en langages bloc.
Présentation du programme de base de la serre sous Mblock (interface graphique).
Présentation des fonctions de base de Mblock à utiliser en lien avec les logigrammes créés (assignation des valeurs des capteurs dans des variables, commande des effecteurs).
Distribution par groupe d’une carte Arduino, des 3 capteurs et des 3 effecteurs
Mise en groupe pour saisie du programme pas à pas : 
    - assignation des valeurs des trois capteurs à trois variables (température – hygrométrie et présence eau), lancement du programme et observation des valeurs de capteurs
    - programmation de la sirène en lien avec le capteur de niveau d’eau et test
    - programmation du servomoteur et du ventilateur en lien avec les capteurs de T° et d’hygrométrie et test
    =&gt; Grande chance que le programme soit instable car tests successifs entre T° et Hygrométrie =&gt; faire réfléchir les élèves sur le pourquoi et sur une solution au problème.
Imprim-écran et impression de leurs programmes lorsqu'ils sont opérationnels.
Bilan sur les problèmes rencontrés.
Réalisation d'une revue de projet numérique (avec problèmes rencontrés).</t>
  </si>
  <si>
    <t xml:space="preserve">Présentation des fonctions de base du logiciel Solidwoks et du tutoriel.
Présentation de la saisie de deux pièces de la classe par le professeur pour démonstration.
Saisie de la forme du support en groupe sous Solidworks.
Imprim-écran des modèles 3D.
Réalisation d'une revue de projet numérique.
</t>
  </si>
  <si>
    <t>Rappel de la philosophie de la serre aquaponique en lien avec le développement durable.
Présentation ou recherches des divers matériaux plastiques utilisables avec une imprimante 3D et mise en avant de leurs caractéristiques (propres et environnementales et de leurs résistance).
Choix d'un d'entre eux par rapport à la philosophie de la serre.
Impression de leurs pièces grâce au tutoriel fourni et aux infos de température vu lors du choix du matériaux.
Réalisation d'une revue de projet numérique (avec accent sur le respect du protocole et des règles de sécurité) et peaufinage des précédentes.
=&gt; Bilan de fin de séquence</t>
  </si>
  <si>
    <t>Réalisation - Recherche de solutions</t>
  </si>
  <si>
    <t>Investigation - Réalisation</t>
  </si>
  <si>
    <t>Les problèmes d'instabilité des effecteurs</t>
  </si>
  <si>
    <t>La modélisation 3D - le passage de la 2D à la 3D</t>
  </si>
  <si>
    <t>L'impression 3D - Les procédure d'utilisation et les règles de sécurité</t>
  </si>
  <si>
    <t>Logiciel Mblock, interface Arduino - 3 capteurs et 3 effecteurs par groupe
Rappel des outils de base - Fichier de la serre de base</t>
  </si>
  <si>
    <t>Logiciel Solidworks et tutoriel</t>
  </si>
  <si>
    <t>Logiciel Cura - Imprimante 3D - Tutoriel</t>
  </si>
  <si>
    <t xml:space="preserve">Cette séquence vise à présenter le travail des élèves et de valider ou non les projets.
Elle est organisée autour d'une problématique :
 - Comment tester l'ensemble des réalisations et valider celles-ci ?
Les élèves vont présenter à l'oral leurs revues de projet et mettre en place leurs systèmes sur la serre de la salle afin de valider ou non les projets au regard du cahier des charges. Au préalable, ils devront définir les critères de validation des projets. Ils découvriront ensuite des vidéos de systèmes réels. </t>
  </si>
  <si>
    <t>Mise en avant des travaux présentés avec leurs spécificités, des problèmes rencontrés et des méthodes de validations des solutions. Présentation de systèmes réels et bilan global sur ce projet.</t>
  </si>
  <si>
    <t>Comment tester l'ensemble des réalisations et valider celles-ci ?</t>
  </si>
  <si>
    <t>Détermination de méthodes pour faire varier la température de la serre et l’humidité afin de pouvoir tester le fonctionnement du programme et du système.
Détermination des critères de validation des systèmes présentés (sous forme de tableau).
Présentation tour à tour des différentes revues de projet et placement des supports et capteurs dans la serre pour démonstration du programme et de la pertinence de la forme des supports.
Validation ou non des systèmes présentés.
Choix d’un système.
Présentation de systèmes automatisés réels utilisés dans l’aquaponie.
Synthèse globale.</t>
  </si>
  <si>
    <t>Présentation - Investigation sur problèmes éventuels</t>
  </si>
  <si>
    <t xml:space="preserve">Comparaison des différentes solutions au sein de la classe. Mise en avant des atouts de certaines solutions et validation des projets en fonctions des critères pré-établis. Projection de vidéos sur des systèmes existants.  </t>
  </si>
  <si>
    <t>Serre aquaponique – interface et PC connecté - Revues de projet</t>
  </si>
  <si>
    <t>Comment utiliser la simulation pour effectuer les choix de solutions techniques?</t>
  </si>
  <si>
    <t>s9</t>
  </si>
  <si>
    <t>Dan le cadre d'un EPI, les élèves participent à la mise en valeur d'un ouvrage littéraire en intégrant, dans une maquette, des éléments du décors. Ils se servent notamment de l'ouvrage pour déterminer les contraintes à respecter. Ils concoivent et réalisent un/des élément du décors. Une présentation au CDI ouvrage littéraire/décors est faite en fin de séquence. Dans cet exemple, le roman "Alice au pays des merveilles" a été choisi.</t>
  </si>
  <si>
    <t>Extraits écrits et visuels du roman "Alice au pays des merveilles".</t>
  </si>
  <si>
    <t>Associer la forme à la résistance d'un objet. Visualiser les faiblesses possibles d'un objet. Apporter des améliorations.</t>
  </si>
  <si>
    <t>Transfert sur un autre objet lié au roman.</t>
  </si>
  <si>
    <t>Français, Anglais, Arts Plastiques</t>
  </si>
  <si>
    <t>Quels sont les repères pour concevoir un objet ?</t>
  </si>
  <si>
    <t>Comment représenter une solution technique ?</t>
  </si>
  <si>
    <t>Comment modéliser et valider une solution technique ?</t>
  </si>
  <si>
    <t>Compléter le cahier des charges à l'aide de documents supports - Relever des mesures réelles</t>
  </si>
  <si>
    <t>Dessiner une solution.</t>
  </si>
  <si>
    <t>Modélisation-Simulation-Analyse</t>
  </si>
  <si>
    <t>Résolution de problèmes techniques</t>
  </si>
  <si>
    <t>Fonction de services-Contraintes-Normes-charte graphique</t>
  </si>
  <si>
    <t>Notion d'échelle-Notion de design-Diversité de solutions</t>
  </si>
  <si>
    <t>Fonctions principales de Solidworks-Lien entre forme et résistance.</t>
  </si>
  <si>
    <t>Cahier des charges incomplet-Image tirée du roman-extraits de norme-Instrument de mesure-chaise réelle</t>
  </si>
  <si>
    <t>Feuille quadrillée</t>
  </si>
  <si>
    <t>Logiciel Solidworks</t>
  </si>
  <si>
    <t>Quel éclairage pour demain ?</t>
  </si>
  <si>
    <t>s10</t>
  </si>
  <si>
    <t>L'objectif est de montrer comment les innovations technologiques peuvent contribuer à réduire les coût de fonctionnement de l'éclairage public tout en préservant la planète.</t>
  </si>
  <si>
    <t>Articles de presse - Politique de la ville (rénovation des quartiers de Roubaix) - Correspondance avec les services de la ville pour obtenir des données sur les actions menées.</t>
  </si>
  <si>
    <t>1) Notion de système et d'objets techniques                                                                                                            2) Identifier différentes phases de fonctionnement (accumulation d'énergie puis utilisation)                                   3) L'évolution des technologies d'éclairage (Incandescence - Halogene - Fluorescente - LED)                                  4) Chaines d'information et d'énergie des objets et du système</t>
  </si>
  <si>
    <t>Étude d'un spot solaire avec détecteur de présence - des éoliennes fonctionnant avec le passage des camions sur autoroute pour alimenter les panneaux d'affichage - Les bornes de secours solaire sur les autoroutes</t>
  </si>
  <si>
    <t>La revolution industrielle - Eclairer pourquoi et depuis quand ? - Anglais : Jack l'éventreur - Avenir : les métiers BTP - Domotique Citoyen : le développement durable</t>
  </si>
  <si>
    <t>programmation - Puissance électrique - Fractions</t>
  </si>
  <si>
    <t xml:space="preserve">Groupe 1 : Comment la ville est-elle éclairée ?      Groupe 2 : Comment les solutions d'éclairage ont évolué ? </t>
  </si>
  <si>
    <t>Comment fonctionnera l'éclairage de demain ?</t>
  </si>
  <si>
    <t>Comment reproduire le fonctionnement de  l'éclairage de demain ?</t>
  </si>
  <si>
    <t>Groupe 1  : Observer et décrire l'éclairage pubilc de la ville / Consulter les documents issus de la Mairie, revue de presse sur la politique de la ville sur le thème du dévelopement durable et sur l'éclairage en particulier. Revue de presse sur les innovations technologiques en terme d'éclairage.      Groupe 2 : Comparer l'efficacité énergétique des 4 types de lampes (incandescence, halogène, Fluorescente, LED)</t>
  </si>
  <si>
    <t>Identifier les différents OT qui composent les systèmes (lampes, batterie, éolienne et/ou panneaux solaires). Décrire et représenter  les différentes phases de fontionnement</t>
  </si>
  <si>
    <t xml:space="preserve">Mettre en œuvre les éléments à sa disposition </t>
  </si>
  <si>
    <t>Démarche de résolution de problème</t>
  </si>
  <si>
    <t xml:space="preserve">Modifier l'éclairage public a un coût (investissement) : il faut être sûr que la démarche entreprise est rentable (et savoir sur quel horizon). Définition de l'efficacité énergétique                                                                                      Classement des technologies / Validité des mesures  </t>
  </si>
  <si>
    <t>Chaîne (d'information) et d'énergie du système</t>
  </si>
  <si>
    <t>Programme (Scratch) commenté du fonctionnement du système.</t>
  </si>
  <si>
    <t>ressources bibliogrpahiques (voir avec la documentaliste) / Banc d'eaais de lampes , Consomètre, Luxmètre (Thermomètre IR)</t>
  </si>
  <si>
    <t>Elements du système, vidéos….</t>
  </si>
  <si>
    <t>Elements du système, capteurs, éoliennes,  batterie, panneaux solaires, distributeurs (relais), lampes</t>
  </si>
  <si>
    <t xml:space="preserve">Comment surveiller une zone dans une habitation ? </t>
  </si>
  <si>
    <t>s11</t>
  </si>
  <si>
    <t>La séquence consiste à programmer une webcam (usb ou intégrée) pour en faire un système de vidéosurveillance.</t>
  </si>
  <si>
    <t>Vidéo de présentation d'un système réel de vidéosurveillance par webcam.</t>
  </si>
  <si>
    <t>À la fin de la séquence, les élèves doivent être capables de mettre au point un programme simple avec un nombre limité de variables et des boucles itératives.
Notions d’algorithme et de programme.
Déclenchement d'une action par un événement.</t>
  </si>
  <si>
    <t xml:space="preserve">Une évaluation formative est privilégiée tout au long des activités cependant, en salle pupitre, un problème nouveau peut être proposé aux élèves qui doivent le résoudre en réinvestissant les notions et capacités abordées précédemment. 
Les compétences « Appliquer les principes élémentaires de l'algorithmique... » et « Imaginer, concevoir et programmer... » sous soumises à validation.
</t>
  </si>
  <si>
    <t>Le droit à l'image peut être abordé (Parcours Citoyen)</t>
  </si>
  <si>
    <t>Comment fonctionne un système réel de vidéosurveillance par Webcam ?</t>
  </si>
  <si>
    <t>Comment Réaliser un programme de vidéosurveillance sur mon PC ?</t>
  </si>
  <si>
    <t>Les élèves (en groupe) analysent une capsule vidéo illustrant le fonctionnement d'une vidéosurveillance par Webcam et produisent un texte qui explique le fonctionnement.
Les textes sont ensuite mis en commun pour montrer les différentes instructions que le « programme » doit faire.
Des illustrations « graphiques » permettent, ensuite, de structurer différemment ce « programme ». Une ébauche de programme peut être réalisée.
Remarque : la première partie de cette séance peut être menée en pédagogie inversée.</t>
  </si>
  <si>
    <t>Le « programme » réalisé à la séance précédente est repris. Ce programme est ensuite créé avec le logiciel Scratch (suivi d'un tutoriel de prise en main).
Un problème est alors posé : Comment modifier le programme pour surveiller 2 zones ?
Les élèves réfléchissent, testent et présentent leurs différentes idées (programmes).</t>
  </si>
  <si>
    <t xml:space="preserve">Notion d'instructions
Notion d'évènements
</t>
  </si>
  <si>
    <t>Notion d'algorithme
Notion de programme</t>
  </si>
  <si>
    <t>Capsule vidéo,
VPI 
Tableau collaboratif (pour la mise en commun des textes)</t>
  </si>
  <si>
    <t>Micro-ordinateur et Webcam
Logiciel Scratch</t>
  </si>
  <si>
    <t>Comment une alarme intéragit avec son environnement ?</t>
  </si>
  <si>
    <t>s12</t>
  </si>
  <si>
    <t>Un système interagit avec son environnement. Il doit acquèrir des informations de différentes natures, les traiter et réaliser diverses actions. Les élèves découvrent les capteurs et les actionneurs</t>
  </si>
  <si>
    <t>vidéos</t>
  </si>
  <si>
    <t>Principe de fonctionnement d'un capteur, d'un actionneur / Energie d'entrée, de sortie / Transformation de l'énergie / Nature des informations et des signaux / Représentation fonctionnelle de l'alarme.</t>
  </si>
  <si>
    <t>Evaluation des compte rendus d'investigation. Repèrer des capteurs et des actionneurs sur d'autres objets familiers. Refaire le schéma fonctionnel d'un autre objet technique simple (Transfert des connaissances)</t>
  </si>
  <si>
    <t>4ème</t>
  </si>
  <si>
    <t xml:space="preserve">Quelles sont les informations nécessaires au fonctionnement de l'alarme et quelles actions doit elle pouvoir réaliser  ? </t>
  </si>
  <si>
    <t xml:space="preserve">Comment l'alarme peut elle acquèrir des informations ? </t>
  </si>
  <si>
    <t>Comment l'alarme agit sur son environnement ?</t>
  </si>
  <si>
    <t xml:space="preserve">Rechercher toutes les informations, données necessaires au fonctionnement de l'alarme et des actions qu'elle doit réaliser </t>
  </si>
  <si>
    <t xml:space="preserve">Repèrer les différents capteurs, les repèrer  et identifier leur grandeur d'entrée et de sortie </t>
  </si>
  <si>
    <t xml:space="preserve">Repèrer les différents actionneurs, les tester et identifier leur grandeur d'entrée et de sortie </t>
  </si>
  <si>
    <t xml:space="preserve">Investigation </t>
  </si>
  <si>
    <t xml:space="preserve">investigation </t>
  </si>
  <si>
    <t>Liste d'informations de grandeurs à acquèrir et d'actions à réaliser. Représentation du fonctionnement par un schéma.</t>
  </si>
  <si>
    <t>Liste de différents capteurs et de la nature de leurs grandeurs d'entrée et de sortie . Elaboration du schéma fonctionnel.</t>
  </si>
  <si>
    <t>Liste de différents actionneurs et de leurs grandeurs d'entrée et de sortie .     Ela boration du schéma fonctionnel.</t>
  </si>
  <si>
    <t xml:space="preserve">centrale d'alarme, différents capteurs, documentation technique </t>
  </si>
  <si>
    <t xml:space="preserve">centrale d'alarme + différents capteurs, documentation technique </t>
  </si>
  <si>
    <t xml:space="preserve">centrale d'alarrme + différents actionneurs , documentation technique </t>
  </si>
  <si>
    <t xml:space="preserve"> Comment adapter un éclairage urbain dans son contexte ?</t>
  </si>
  <si>
    <t>Réalisation - test et validation</t>
  </si>
  <si>
    <t>s13</t>
  </si>
  <si>
    <t>s14</t>
  </si>
  <si>
    <t>s15</t>
  </si>
  <si>
    <t xml:space="preserve">Cette séquence vise, en mode collaboratif, à acquérir les connaissances permettant de s'approprier le cahier des charges du projet.
Elle est organisée autour de 3 problématiques :
 - A quoi sert un éclairage public ?
 - Comment a évolué l’éclairage public en France ?
 - Pourquoi les villes s’intéressent-elles à leur éclairage public ?
Les élèves vont dans un premier temps déterminer les rôles de l'éclairage public et retracer son histoire afin de commenter son évolution sous différents points de vue. Ils investigueront ensuite sur les impacts environnementaux et économiques de celui-ci afin de comprendre la demande de la mairie définissant le but du projet et de rédiger le cahier des charges pour se l'approprier. </t>
  </si>
  <si>
    <t>Photos de lieux de nuit - Photos de divers éclairage public au cours des âges (séance 1&amp;2)
Photos d'articles de presse sur les villes et leurs éclairages publics et vidéo "Les allumés" - Courrier de la mairie (séance 3)</t>
  </si>
  <si>
    <t>Rôle et évolution de l'éclairage public - mode de représentation
Les impacts environnementaux et économiques de l'éclairage public
Besoin, cahier des charges, contraintes, performances</t>
  </si>
  <si>
    <t/>
  </si>
  <si>
    <t>Classe de 4ème</t>
  </si>
  <si>
    <t>Les métiers d'antan et actuels dans l'éclairage public</t>
  </si>
  <si>
    <t>Séance 1 et 2</t>
  </si>
  <si>
    <t>A quoi sert l'éclairage public et depuis quand existe t-il ?</t>
  </si>
  <si>
    <t>Pourquoi les villes s'intéressent-elles à la gestion de leur éclairage public ?</t>
  </si>
  <si>
    <r>
      <rPr>
        <b/>
        <sz val="9"/>
        <color rgb="FF000000"/>
        <rFont val="Arial"/>
        <family val="2"/>
      </rPr>
      <t>Problématique 1</t>
    </r>
    <r>
      <rPr>
        <sz val="9"/>
        <color rgb="FF000000"/>
        <rFont val="Arial"/>
        <family val="2"/>
        <charset val="1"/>
      </rPr>
      <t xml:space="preserve"> : A quoi sert un éclairage public ?
Présentation de la photo du centre de Mons la nuit, de l’opéra de Francfort et de la vidéo du syndicat de l'éclairage
Mise en avant de l'éclairage public et de la problématique 1
Mise en groupe rapide pour réflexion sur le sujet
Échange sur les réponses des différents groupes
Bilan
</t>
    </r>
    <r>
      <rPr>
        <b/>
        <sz val="9"/>
        <color rgb="FF000000"/>
        <rFont val="Arial"/>
        <family val="2"/>
      </rPr>
      <t>Problématique 2</t>
    </r>
    <r>
      <rPr>
        <sz val="9"/>
        <color rgb="FF000000"/>
        <rFont val="Arial"/>
        <family val="2"/>
        <charset val="1"/>
      </rPr>
      <t xml:space="preserve"> : Comment a évolué l’éclairage public en France ?
Présentation de divers photos liées à l'évolution de l’éclairage public
Mise en avant par échanges oraux de l'évolution des principes d'éclairage public (sources d'énergie – forme – puissance – etc.)
Présentation du travail =&gt; A partir de la carte heuristique (version élèves) de l'évolution de l'éclairage public (dates, photos et descriptifs faits), chaque groupe indiquera pour 3 types d'éclairage donnés par le professeur (pour gain de temps) les avantages ou inconvénients par rapport au système précédent et le pourquoi de cette évolution ou autres infos utiles et ce grâce au site phozagora.free.fr (page « Histoire de l'éclairage public en France ») où l’on trouve : 
    - la description du fonctionnement/principe - la puissance d'éclairage
    - l'aspect environnemental    - l'aspect social
    - l'aspect économique
Mise en groupe pour réalisation du travail, imprim-écran et impression de la période traitée.
Présentation orale des travaux permettant de balayer l’évolution complète et prise de notes des élèves.
Mise à jour de la carte mentale avec réponse des élèves et impression
Réflexion en groupe des différentes raisons qui expliquent les grandes évolutions de l’éclairage public en France
Bilan des travaux </t>
    </r>
  </si>
  <si>
    <t>Présentation de la vidéo « Les allumés » et du nombre important d'articles de presse traitant de la gestion et de la modernisation de l'éclairage public
Présentation de la problématique
Investigation sur le sujet en groupe à l’aide de la vidéo et des articles de presse issus du Net
Présentation orale des travaux
Bilan des travaux (aspect environnemental et économique de l'éclairage public)
Présentation du courrier de la mairie de Mons en Baroeul
Mise en groupe pour analyse de celui-ci (ou devoir maison si en retard) et résumé de la demande
Echange rapide sur celle-ci et établissement du cahier des charges (texte + carte heuristique ou syslm)
Planification des activités à réaliser par échange à l’aide la carte heuristique précédente.
Revue de projet 1</t>
  </si>
  <si>
    <t>Problématique 1 : Démarche d'investigation</t>
  </si>
  <si>
    <t>Problématique 2 : Démarche d'investigation</t>
  </si>
  <si>
    <t xml:space="preserve">Rôle de l'éclairage public </t>
  </si>
  <si>
    <t xml:space="preserve">Evolution de l'éclairage public - Les impacts environnementaux, sociaux et économiques de l'éclairage public - les familles et lignées </t>
  </si>
  <si>
    <t>Besoin - cahier des charges - contraintes - performances</t>
  </si>
  <si>
    <t>Photos diverses de nuit</t>
  </si>
  <si>
    <t>Document / Site "Histoire de l'éclairage public en France" - Logiciel de carte mentale</t>
  </si>
  <si>
    <t>Articles de presse sur l'éclairage public de nos jours - vidéo "les allumés"
Courrier de la mairie</t>
  </si>
  <si>
    <t xml:space="preserve">Cette séquence vise, en mode collaboratif, à rechercher des formes pour les candélabres et des scénarios permettant de piloter l'éclairage public de la rue d’Auvergne en vue de répondre au cahier des charges.
Elle est organisée autour de 3 problématiques :
 - Quelles formes donner à nos candélabres pour répondre à la demande ?
 - Sur quels leviers agir et comment détecter les informations ?
 - Quels scénarios de fonctionnement pour répondre à la demande ?
Les élèves vont dans un premier temps réfléchir à la forme à donner aux candélabres afin de limiter la pollution lumineuse et de respecter une démarche « Design ». Le professeur d'Arts plastiques peut intervenir dans le cadre des EPI. Suite à cela, ils détermineront les leviers sur lesquels ils peuvent agir pour diminuer la consommation de l'éclairage actuel et étudier différents capteurs afin de choisir les plus adaptés à la situation. Cela fait, ils établiront un scénario utilisant les informations des capteurs choisis afin de répondre au cahier des charges. </t>
  </si>
  <si>
    <t>Suite du projet…</t>
  </si>
  <si>
    <t>Types de capteurs et formes du signal (mesure directe)
Les différentes approches dans la conceptions d'un projet (Démarche Design)
Nouveaux aspects de la programmation</t>
  </si>
  <si>
    <t>les métiers du design
EPI : les types de signaux (Sciences Physiques) - le design (Arts Plastiques)</t>
  </si>
  <si>
    <t>Utilisation des machines et outils de la classe</t>
  </si>
  <si>
    <t>Quelles formes donner à nos candélabres pour répondre à la demande ?</t>
  </si>
  <si>
    <t>Sur quels leviers agir et comment détecter les informations ?</t>
  </si>
  <si>
    <t>Quels scénarios de fonctionnement pour répondre à la demande ?</t>
  </si>
  <si>
    <t>Séquence réalisable en partenariat avec le professeur d'Arts plastiques
Retour sur les contraintes du cahier des charges
Mise en avant de la problématique de la pollution lumineuse et de l’intégration d’une dimension design
Echanges sur la pollution lumineuse et détermination des zones à éclairer (rue + trottoir uniquement)
Echanges et questionnement sur la démarche "Design" + bilan
Présentation des planches tendance et échanges sur les codes à respecter.
Réalisation de candélabres simples en carton – pâte fimo… pour simuler cette éclairage sur la maquette et déterminer des formes adaptées possibles (lien avec les Arts Plastiques)
Présentation des résultats (revue de projet intermédiaire)</t>
  </si>
  <si>
    <t>Retour sur le cahier des charges et mise en avant de la problématique
Mise en groupe pour échanges rapides et propositions de solutions avec critiques de celles-ci
Présentation orale des travaux
Bilan sur les possibilités d'actions (élimination des solutions non pertinentes ou pas en lien avec le courrier)
Mise en avant de la nécessité de détecter la luminosité, les piétons et les véhicules dans une partie des solutions retenues
Retour sur les travaux effectués en 5ème sur la programmation des volets de la serre aquaponique et rappel des capteurs utilisés =&gt; sont-ils adaptés à cette situation ?
Présentation de la maquette des 9 capteurs et de l'interface graphique de Mblock correspondante
Mise en groupe pour étude des capteurs proposés avec détermination de leur dénomination, des données fournies et comparaison des types de données pour ensuite retenir des capteurs pour le projet.
Présentation des travaux sous forme d'une revue de projet
Bilan sur :
         - les types de capteurs et les formes du signal
         - les choix possibles pour les données à acquérir
=&gt; fin de séquence réalisable en partenariat avec le professeur de Sciences physique (type d'ondes (IR – Ultrason…)</t>
  </si>
  <si>
    <t xml:space="preserve">Retour sur les travaux de la séance précédente
Présentation du travail : Revoir ses idées ou piocher parmi celles des autres groupes et réaliser un scénario utilisant des capteurs au choix afin que le système prenne en compte son environnement (présence de piéton, véhicule, luminosité (jour, nuit avec et sans pleine lune) et remplisse la fonction souhaité (CDCF)
Mise en groupe pour établissement d'un scénario possible pour gérer l'éclairage public de la rue d’Auvergne ou de la rue Lanoy en vue de respecter les contraintes du CDCF avec une contrainte au niveau du nombre de capteurs et mise en forme de celui-ci sous forme littérale, puis de logigramme avec définition des variables liées aux capteurs
Revue de projet 2
</t>
  </si>
  <si>
    <t>Résolution de problème</t>
  </si>
  <si>
    <t>L'intégration Design dans la conception des objets</t>
  </si>
  <si>
    <t>Les types de capteurs et formes du signal - mesure directe</t>
  </si>
  <si>
    <t>La diversité des solutions</t>
  </si>
  <si>
    <t>Planches tendances
Le design dans la conception des objets
Maquette du mât et de la lampe avec délémitation des zones à éclairer</t>
  </si>
  <si>
    <t>Maquette de 12 capteurs et logiciel de visualisation correspondant</t>
  </si>
  <si>
    <t>Maquette de la rue</t>
  </si>
  <si>
    <t>Utilisation de Mblock</t>
  </si>
  <si>
    <t>Comment modéliser et imprimer en 3D nos candélabres ?</t>
  </si>
  <si>
    <t>Comment saisir ces scénarios sous Mblock ?</t>
  </si>
  <si>
    <t>Comment vérifier la conformité de notre travail et valider celui-ci ?</t>
  </si>
  <si>
    <t>Retour sur les travaux réalisés
Présentation du logiciel de modélisation Solidworks
Démonstration rapide de la création d'un candélabre.
Découverte des fiches ressources
Modélisation en groupe des candélabres en respectant les prototypes réalisés.
Enregistrement des fichiers de modélisation 3D au format .STL
Démonstration de la préparation d'impression avec le logiciel Cura
Réalisation des fichiers d'impression
Impression des prototypes
Bilan sur le diaporama de la revue de projet</t>
  </si>
  <si>
    <t>Rappel des travaux déjà réalisés sous Mblock (2 Séquences au niveau 5ème et 1 en 4ème) et rappel des grands principes.
Présentation du programme de base et des sous programmes.
Saisie des scénarios sous le logiciel Mblock (interface graphique et costumes des ampoules + procédures d'allumage déjà saisies) (chaque groupe possèdent son interface Arduino et les capteurs choisis)
Tests et corrections
Bilan sur l'écriture du programme et des tests associés avant validation du travail et comparaison entre les attendus et le réel
Revue de projet 3</t>
  </si>
  <si>
    <t>Présentation de la problématique et retour sur le courrier de la mairie
Mise en avant de la nécessité de présenter les diverses revues de projets comme demandé et de mettre en fonction sur la maquette de la mairie leur programme après avoir placé les capteurs et les candélabres
Présentation de la grille d’évaluation type Brevet
Préparation, puis présentation des travaux : Revues de projet – Programme et candélabres en fonctionnement
Validation ou non des projets (établissements d’une grille d’évaluation pour les candélabres) et bilan des projets présentés.
Bilan de fin de séquence</t>
  </si>
  <si>
    <t>Présentation</t>
  </si>
  <si>
    <t xml:space="preserve">L'impression 3D et ses applications - la chaîne de fabrication
</t>
  </si>
  <si>
    <t>Ecriture du programme et des tests associés avant validation du travail et comparaison entre les attendus et le réel</t>
  </si>
  <si>
    <t>La démarche de projet</t>
  </si>
  <si>
    <t xml:space="preserve">Logiciel Solidworks - imprimante 3D et tutoriels
</t>
  </si>
  <si>
    <t>Logiciel Mblock et tutoriel simplifié + programme de base de la maquette</t>
  </si>
  <si>
    <t>Maquette de la rue, revues de projet et matériel de vidéoprojection - candélabres imprimés</t>
  </si>
  <si>
    <t>Cette séquence vise, en mode collaboratif à modéliser/scanner et à imprimer en 3D les candélabres, à saisir le scénario sous le logiciel Mblock et le tester,  pour ensuite présenter les différents projets devant les demandeurs (mairie) afin de mettre en avant les étapes grâce aux revues de projets et le fonctionnement de leurs productions (programme et candélabres) sur la maquette de la rue. La classe sera là pour valider ou non les projets. 
Elle est organisée autour de 3 problématiques :
 - Comment modéliser et imprimer en 3D nos candélabres ?
 - Comment saisir ces scénarios sous Mblock ? 
 - Comment vérifier la conformité de notre travail et valider celui-ci ?</t>
  </si>
  <si>
    <t>Ecriture du programme et des tests associés avant validation du travail et comparaison entre les attendus et le réel
L'impression 3D et ses applications - la chaîne de fabrication
La démarche de projet</t>
  </si>
  <si>
    <t>Comment gérer les contraintes de conception d'un système domotique ?</t>
  </si>
  <si>
    <t>s16</t>
  </si>
  <si>
    <t xml:space="preserve">Aborder un des fondamentaux de la discipline avec la modélisation numérique et la simulation informatique. </t>
  </si>
  <si>
    <t>extrait vidéo : Mon oncle de Tati ou Ali Baba.</t>
  </si>
  <si>
    <t>Transmission et transformation de mouvement, éléments de la chaîne numérique.</t>
  </si>
  <si>
    <t>Portfolio d'évaluation, tâche complexe, exposition collective (EPI ).</t>
  </si>
  <si>
    <t>4eme</t>
  </si>
  <si>
    <t>E.P.I</t>
  </si>
  <si>
    <t>Comment savoir si je suis manipulé(e) par l'image que je vois?</t>
  </si>
  <si>
    <t>Prérequis :  utiliser un réglet et un calibre à coulisse, concevoir une forme simple en CAO.</t>
  </si>
  <si>
    <t>Parcours Citoyen</t>
  </si>
  <si>
    <t>Développer le jugement critique</t>
  </si>
  <si>
    <t>En tenant compte des contraintes dimensionnelles, comment imaginez à l'aide d'un croquis l'élément(s) d'un système domotique?</t>
  </si>
  <si>
    <t>Comment concevoir un modèle numérique original, en tenant compte des contraintes  de transmission et de transformation de mouvement?</t>
  </si>
  <si>
    <t>Comment réaliser un assemblage numérique. Comment transposer un élément en réalité augmentée?</t>
  </si>
  <si>
    <t>Emettre des idées, proposer une solution,  réaliser un dessin. Réaliser une maquette en carton.</t>
  </si>
  <si>
    <t xml:space="preserve">Concevoir un élément par modélisation numérique (support moteur et portail original). </t>
  </si>
  <si>
    <t>Comment réaliser un assemblage numérique et transposer un élément en réalité augmentée?</t>
  </si>
  <si>
    <t xml:space="preserve"> Démarche de résolution de problèmes.</t>
  </si>
  <si>
    <t>L'élève  doit utiliser des appareils de mesures. La différenciation pédagogique peut se faire sur les formes de l'élément à concevoir.</t>
  </si>
  <si>
    <t xml:space="preserve"> L'élève doit pouvoir transposer la conception d'une forme simple dans un contexte nouveau.</t>
  </si>
  <si>
    <t>L'élève applique une méthode d'assemblage propre au logiciel utilisé, il utilise un plugin pour le logiciel de CAO et de  RA(réalité augmentée).</t>
  </si>
  <si>
    <t>Maquettes didactiques,  réglet, calibre à coulisse. Fiche coup de pouce "types de dessins, appareils de mesures", travail en groupe.</t>
  </si>
  <si>
    <t>Logiciel CAO, fiche coup de pouce "utilisation des outils numériques" .</t>
  </si>
  <si>
    <t>Logiciels C.A.O et R.A, fiche coup de pouce "utilisation des outils numériques", tablettes,  travail en groupe.</t>
  </si>
  <si>
    <t>s17</t>
  </si>
  <si>
    <t>s18</t>
  </si>
  <si>
    <t xml:space="preserve">En partant du prix de différents ordinateurs (recherche personnelle) et des usages actuels. Les élèves découvrent qu'il est possible de réaliser un ordinateur économique (Low cost) et éco-responsable (faible consommation) avec une carte Raspberry. A partir d'un diagramme fournit servant de cahier des charges, les élèves appréhendent les contraintes liées à la réalisation du boitier. Une démarche de recherche de solution incluant une partie relative au design du boitier est mise en place. Les élèves filment les différentes étapes de manière à pouvoir créer une capsule vidéo (Hyperlapse ?) </t>
  </si>
  <si>
    <t>Vidéo : Steve job, comment fabriquer un ordinateur dans son garage ?</t>
  </si>
  <si>
    <t>Les évolutions de l'informatique (miniaturisation, capacité de stockage, puissance, tactile, système d'exploitation). Consommation électrique et développement durable. Cycle de vie d'un produit. Recyclage des matériaux (métaux précieux, plastiques, etc.).  L'arborescence du réseau (Mes docs, public, commun, projet).</t>
  </si>
  <si>
    <t>Fin de 4ème</t>
  </si>
  <si>
    <t>Métiers : Programmeurs, détaillant informatique, les filières du recyclage.</t>
  </si>
  <si>
    <t>Quels sont les usages de l'ordinateur familial aujourd'hui ? Qu'en est il de leur coût et de leur consommation ?</t>
  </si>
  <si>
    <t>Comment peut on réaliser un boitier pour notre carte raspberry ?</t>
  </si>
  <si>
    <t>L'activité doit permettre de déterminer les usages des ordinateurs aujourd'hui. Étude du  groupe classe, généralisation à une population plus grande. Coût d'un ordinateur familial. A la manière de Steve Job ne pourrait-on pas fabriquer un ordinateur à bas coût ? Découvert de la carte raspberry. Comparaison de consommation entre le matériel de la salle et le raspberry. Cycle de vie d'un produit : le recyclage des composants informatiques.</t>
  </si>
  <si>
    <t>Les élèves s'approprient, au travers d'un diagramme, les différentes contraintes du projet. Conception d'un boitier en intégrant la démarche de design. Etude comparative de différents matériaux. Choix d'un matériau pour la réalisation du boitier. Travail en équipe, attribution de rôles. Les élèves filment les différentes étapes de la recherche de solutions. Les fichiers sont stockés dans le groupe projet</t>
  </si>
  <si>
    <t>Conception du boitier en intégrant la démarche de design. Etude comparative de différents matériaux. Choix d'un matériau pour la réalisation du boitier. Travail en équipe, attribution de rôles. Les élèves filment les différentes étapes de la recherche de solutions. Les fichiers sont stockés dans le groupe projet</t>
  </si>
  <si>
    <t xml:space="preserve">Les puissances consommées sont elles en relation avec les usages des ordinateurs d'aujourd'hui. Consommation / Développement durable. Il existe aujourd'hui une solution permettant d'assembler un mini ordinateur répondant aux différents besoins. </t>
  </si>
  <si>
    <t>Les différentes contraintes d'un projet. La démarche de recherche de solutions.</t>
  </si>
  <si>
    <t>La démarche de design. Les matières plastiques.</t>
  </si>
  <si>
    <t>carte raspberry, PC fixe, portable, wattmètre.</t>
  </si>
  <si>
    <t xml:space="preserve">Maquette d'une carte raspberry. Échantillons de matériaux.  </t>
  </si>
  <si>
    <t>Maquette d'un carte raspberry, échantillons de matériaux.</t>
  </si>
  <si>
    <t>Cette séquence doit permettre aux élèves de réaliser le boitier de la carte Raspberry. Le prototypage du boitier sera réalisé à l'imprimante 3D ou la M.O.C.N.. Le micro-ordinateur sera ensuite testé dans des conditions réelles (Bureautique, Musique, vidéos, connexion de périphériques...). Le raspberry sera ensuite connecté au réseau. La carte raspberry peut donc être assimilée à un ordinateur. Tout au long de la séquence, les élèves filment les différentes activités afin de pouvoir réaliser une capsule vidéo (utilisation possible du concept d'hyperlapse). Un élargissement sera proposé aux élèves : Un parallèle peut être fait entre le travail réalisé et le concept : KUBB. (www.kubb.eu)</t>
  </si>
  <si>
    <t>Les différentes solutions proposées lors de la séquence précédente.</t>
  </si>
  <si>
    <t>Règles de sécurité, Gamme de fabrication (antériorités…) Les principaux éléments du réseau. Connexion filaire, connexion wifi.</t>
  </si>
  <si>
    <t>Qualité de travail du groupe, respect des consignes de sécurité. Gamme de fabrication et antériorités.</t>
  </si>
  <si>
    <t>fin de 4ème</t>
  </si>
  <si>
    <t>Utilisation de la MOCN, de l'imprimante 3D</t>
  </si>
  <si>
    <t>Les différents outillages de la salle</t>
  </si>
  <si>
    <t>Notions de modélisation (sketchup, 3D Slash)</t>
  </si>
  <si>
    <t>Le concept de "fablab". Métier : designer, caméraman.</t>
  </si>
  <si>
    <t>Comment assurer la fabrication du boitier de la carte raspberry?</t>
  </si>
  <si>
    <t>Comment assurer la fabrication du boitier de la carte Raspberry?</t>
  </si>
  <si>
    <t>La carte raspberry est elle finalement un ordinateur ? Tests en conditions réelles</t>
  </si>
  <si>
    <t>Les élèves valident la solution retenue à l'aide d'une maquette papier et choisissent le matériau. Les élèves travaillent en équipe et se répartissent les tâches. Ils procèdent : Au traçage des bruts, au cisaillage, déterminent les antériorités. Ils procèdent au prototypage des boitiers. Ils filment les différentes activités et stockent les fichiers dans le dossier "projet".</t>
  </si>
  <si>
    <t>Prototypage des boitiers. Les élèves assurent le montage de la capsule vidéo.</t>
  </si>
  <si>
    <t>Les élèves assurent le montage final du raspberry dans le boitier. Ils terminent le montage des capsules vidéos. Les cartes raspberry sont testées en conditions réelles et comparées à un ordinateur de référence( bureautique, audio, photos, vidéo).Le raspberry est connecté au réseau et testé sur internet(RJ45 et Wifi).  Les capsules vidéos sont misent en ligne (ENT)</t>
  </si>
  <si>
    <t>Démarche d'investigation.</t>
  </si>
  <si>
    <t xml:space="preserve">Règle de sécurité. </t>
  </si>
  <si>
    <t>L'imprimante 3D : avantages et inconvénients</t>
  </si>
  <si>
    <t>Le montage final valide la réalisation du prototype. La carte raspberry est fonctionnelle. Elle répond aux différents besoins des élèves.</t>
  </si>
  <si>
    <t>Outils, matériaux, Imprimante 3D, MOCN, carte Raspberry.</t>
  </si>
  <si>
    <t>Outils, Imprimante 3D, MOCN, carte Raspberry.</t>
  </si>
  <si>
    <t>Câble, routeur wifi, différents périphériques…</t>
  </si>
  <si>
    <t>s19</t>
  </si>
  <si>
    <t>La séquence débute par un travail en classe inversée qui permettra de mettre en évidence l’importance d’orienter correctement le panneau photovoltaïque par rapport aux rayons du soleil. Un tracker solaire manuel ou radiocommandé a été réalisé et est présenté aux élèves en début de séquence.</t>
  </si>
  <si>
    <t>En utilisant le travail réalisé en classe inversée et en faisant une mise en mouvement d'un tracker solaire, radio-commandé ou manuel : Comment optimiser les apports solaires et que le système soit autonome ?</t>
  </si>
  <si>
    <t>Présentation de la solution réalisée : programme et solution technique / Résultats obtenus, écart, modifications à apporter / Nécessité de préserver les ressources et de les optimiser / Élargissement sur d'autres solutions pour optimiser les apports solaires : "Smart Flower"…</t>
  </si>
  <si>
    <t>Pilotage d'une éolienne : visualisation de la vidéo "on n'est pas que des cobayes / monter dans une éolienne". Réalisation d'un programme sous Scratch afin de détecter le sens du vent et orienter correctement une éolienne. Possibilité de différencier en proposant en supplément, l'arrêt de l'éolienne en cas de vents violents.</t>
  </si>
  <si>
    <t>Transition écologique et développement durable</t>
  </si>
  <si>
    <t>Démarche de projet</t>
  </si>
  <si>
    <t>Séance 1 (1h)</t>
  </si>
  <si>
    <t>Séance 3 (1h)</t>
  </si>
  <si>
    <t>s20</t>
  </si>
  <si>
    <t>Comment les ordinateurs arrivent-ils à communiquer ?</t>
  </si>
  <si>
    <t>s21</t>
  </si>
  <si>
    <t>Après une utilisation en 6ème du réseau, les élèves découvrent l'intérêt d'avoir un matériel informatique relié en réseau. Ce qui va permettre d'aborder le fonctionnement du plus grand réseau informatique "Internet" et d'en connaitre les règles d'utilisation.</t>
  </si>
  <si>
    <t xml:space="preserve"> Les Experts cybers :   Réalité ou fiction ? (extrait de vidéo)</t>
  </si>
  <si>
    <t xml:space="preserve">Comprendre l'intérêt de mettre des postes en réseau et être capable de schématiser sa structure. Repérer les différents moyens de transmission d'informations. Le rôle de l'IP au sein d'un réseau. Connaitre les règles d'utilisation d'internet             </t>
  </si>
  <si>
    <t>Possibilité de transfert sur le réseau de la maison (box internet, imprimante, ordinateurs…).</t>
  </si>
  <si>
    <t>début du cycle 4 (début de 5ème)</t>
  </si>
  <si>
    <t>information, communication et citoyenneté</t>
  </si>
  <si>
    <t>savoir se connecter au réseau</t>
  </si>
  <si>
    <t>Les métiers de l'informatique et de l'internet (webmaster, responsable réseau…)</t>
  </si>
  <si>
    <t>Comment transitent les informations dans le réseau du collège ?</t>
  </si>
  <si>
    <t>Comment les ordinateurs se repèrent-ils</t>
  </si>
  <si>
    <t>Qui a déjà téléchargé des vidéos, des films, de la musique… ?                                                     Avez vous des connaissances  qui ont reçu ce courrier ?</t>
  </si>
  <si>
    <t>Observation et découverte des différents éléments constituants notre réseau.                     Réalisation d'un document  numérique pour représenter notre réseau</t>
  </si>
  <si>
    <t>Utilisation de la commande Ip config,  pour repérer les différentes adresses permettant d'identifier un poste informatique.              Connexions sur des sites en utilisant les ip</t>
  </si>
  <si>
    <t>Débat, discussion.                       (Je peux télécharger et copier sans aucune contrainte tout ce que je trouve sur internet.) Recherche sur le droit d'auteur lié à internet</t>
  </si>
  <si>
    <t>Le réseau permet à l'utlisateur de retrouver ses documents à partir de différents postes et de limiter le nombre de périphériques (1imprimante par salle) Les informations peuvent transiter sur différents supports</t>
  </si>
  <si>
    <t>Les ordinateurs peuvent communiquer entre-eux et il est possible de retrouver les traces de ces comminications</t>
  </si>
  <si>
    <t>Règles et sanctions liées à l'utlisation du réseau Internet.</t>
  </si>
  <si>
    <t>Analyse du besoin et proposition d'une solution d'adaptation.</t>
  </si>
  <si>
    <t>Description du fonctionnement (simulation) et programmation.</t>
  </si>
  <si>
    <t>Présentation de la solution réalisée : programme et solution technique / Résultats obtenus, écart, modifications à apporter.</t>
  </si>
  <si>
    <t>fin de 2ème année</t>
  </si>
  <si>
    <t>Utilisation du logiciel Solidworks.</t>
  </si>
  <si>
    <t xml:space="preserve">Quelles solutions techniques pour suivre le soleil ?					</t>
  </si>
  <si>
    <t xml:space="preserve">Décryptage des fonctions du CDC et proposition d’une solution sous forme de croquis, d’un schéma fonctionnel et d’un texte associé.					</t>
  </si>
  <si>
    <t xml:space="preserve">Démarche de projet					</t>
  </si>
  <si>
    <t xml:space="preserve">Rappel des contraintes pour l'installation d'un panneau solaire : angle d'irradiation, orientation.Présentation de solutions techniques (investigation documentaire à faire) pour suivre le mouvement du soleil (tracker mono axial, tracker bi-axial)					</t>
  </si>
  <si>
    <t xml:space="preserve">Un extrait du cahier des charges et le compte rendu du travail réalisé en classe inversée. Des documentations techniques.					</t>
  </si>
  <si>
    <t xml:space="preserve">Comment réaliser notre solution ?										</t>
  </si>
  <si>
    <t xml:space="preserve">Modification et/ou réalisation d’une partie du tracker solaire afin qu'il supporte une cellule photovoltaïque avec une inclinaison donnée en y intégrant 2 capteurs de lumière.										</t>
  </si>
  <si>
    <t xml:space="preserve">Démarche de projet										</t>
  </si>
  <si>
    <t xml:space="preserve">Assemblage de leur solution et vérification du fonctionnement.										</t>
  </si>
  <si>
    <t xml:space="preserve">Machines du laboratoire de technologie + logiciel de modélisation (Solidworks) + modèle numérique du tracker incomplet.										</t>
  </si>
  <si>
    <t>Séance 4 (1h)</t>
  </si>
  <si>
    <t>Revue de projet</t>
  </si>
  <si>
    <t>Présentation des travaux des élèves des séances 2 et 3</t>
  </si>
  <si>
    <t>Présentation de la solution finale qui sera utilisée lors de la séquence 20.</t>
  </si>
  <si>
    <t>Les travaux des élèves réalisés durant les séances 2 et 3.</t>
  </si>
  <si>
    <t>Séance 2 (1h)</t>
  </si>
  <si>
    <t>Utilisation des logiciels Scratch et mBlock.</t>
  </si>
  <si>
    <t>Comment décrire le fonctionnement attendu du tracker solaire ?</t>
  </si>
  <si>
    <t>Comment simuler le fonctionnement attendu du tracker solaire ?</t>
  </si>
  <si>
    <t>Comment vérifier le fonctionnement du tracker solaire ?</t>
  </si>
  <si>
    <t>Réalisation de l’algorithme du fonctionnement attendu, puis établissement de l’algorigramme associé.</t>
  </si>
  <si>
    <t>Simulation du comportement attendu en réalisant le programme sous Scratch.</t>
  </si>
  <si>
    <t>Réalisation du programme sous mBlock. Téléversement et vérification du bon fonctionnement en fonction de la position de la source de lumière.</t>
  </si>
  <si>
    <t>Présentation d’un algorithme et d’un algorigramme d’un groupe et discussion sur cette proposition.</t>
  </si>
  <si>
    <t>Vérification de la simulation réalisée par certains groupes et discussion.</t>
  </si>
  <si>
    <t>Présentation d’un programme établi sous mBlock ainsi que le fonctionnement associé du tracker solaire.</t>
  </si>
  <si>
    <t>Un schéma décrivant le fonctionnement attendu du tracker défini en début d’heure en classe entière.</t>
  </si>
  <si>
    <t>Logiciel de simulation Scratch + un programme avec la partie graphique réalisée.</t>
  </si>
  <si>
    <t>Logiciel de programmation Mblock + un programme à compléter + un tracker fonctionnel mécaniquement.</t>
  </si>
  <si>
    <t>Comment réaliser une application androïd à destination des parents d'élève</t>
  </si>
  <si>
    <t>s22</t>
  </si>
  <si>
    <t>Qu'est ce qu'une application smartphone, Réaliser une carte mentale afin d'identifier les informations importantes à communiquer et les actions intéressantes  à retrouver dans cette application, Description graphique de l'application, programmation sur appinventor de l'application, test et mise à disposition aux familles,</t>
  </si>
  <si>
    <t>Etude des moyens de communication entre la famille et le collège</t>
  </si>
  <si>
    <t>Comment exprimer sa pensée, définir un algorithme, Notion de boucle et condition,</t>
  </si>
  <si>
    <t>Modifier une IHM, ajouter un objet, paramétrer une action en fonction d'un capteur intégré. Modifier une carte heuristique
Associer quelques évènements simples comme le clic sur bouton, Compiler le programme, (Apk). Simulation et transfert sur un smartphone.</t>
  </si>
  <si>
    <t>Comment améliorer la communication avec les parents ?</t>
  </si>
  <si>
    <t>Comment traduire nos idées sous la forme d'un programme ?</t>
  </si>
  <si>
    <t>Réaliser une carte mentale des éléments à mettre à disposition des parents et des actions à proposer ; croquis de l'interface graphique et explication des inter-actions</t>
  </si>
  <si>
    <t>Qu'est ce q'un algorithme? : renseigner le questionnaire après avoir visionner le film, Pour chaque objet présent sur la copie d'écran écrire ce qui est attendu (chaîne d'actions), Chercher dans une bibliothèque de boucle de programme celle adaptée.</t>
  </si>
  <si>
    <t>La carte heuristique pour exprimer sa pensée, les éléments et les actions retenus - Création compte gmail (utilisation appinventor)</t>
  </si>
  <si>
    <t>L'algorithme, les boucles, les conditions</t>
  </si>
  <si>
    <t>Cdcf, carte mentale pré-remplie, logiciel création carte, copie d'écran smartphone</t>
  </si>
  <si>
    <t>Tutoriel app inventor</t>
  </si>
  <si>
    <t>comment la technologie nous informe sur notre santé ?</t>
  </si>
  <si>
    <t>s23</t>
  </si>
  <si>
    <t>Cette séquence permet aux élèves de découvrir les technologies utilisées pour surveiller notre santé ainsi qu'à en définir les limites d'utilisation.</t>
  </si>
  <si>
    <t>Mesure de la fréquence cardiaque de façon manuelle et en utilisant différents appareils.</t>
  </si>
  <si>
    <t xml:space="preserve">Quelles techniques permettent de mesurer la fréquence cardiaque ?                                                                                       Comment sont acquises, traitées et transmises les informations ?                                                                                   Quelles sont les bonnes attitudes à adopter lors de l'utilisation des objets connectés ? </t>
  </si>
  <si>
    <t>Le thermomètre</t>
  </si>
  <si>
    <t>3 ième</t>
  </si>
  <si>
    <t>EPI avec EPS et SVT (fréquence cardiaque)</t>
  </si>
  <si>
    <t>Parcours santé</t>
  </si>
  <si>
    <t>Comment mesure t-on sa fréquence cardiaque ?</t>
  </si>
  <si>
    <t xml:space="preserve">Comment sont acquises, traitées et transmises les informations ? </t>
  </si>
  <si>
    <t>Etre en permanence connecté, est-ce sans conséquences ?</t>
  </si>
  <si>
    <t xml:space="preserve">En classe inversée, les élèves ont répondu à plusieurs questions concernant la fréquence cardiaque. En classe, la question posée est : "Quels appareils permettent de donner ces informations ? Parmi toutes les réponses obtenues, trois objets techniques sont retenus : le stéthoscope, le tensiomètre et le bracelet connecté. En groupe, un objet est étudié. Il est ensuite présenté à l'aide d'un diaporama (fonctionnement, recherche de la période historique, comparaison avec la solution manuelle). </t>
  </si>
  <si>
    <t xml:space="preserve">En groupe, les élèves analysent le programme permettant d'obtenir la fréquence cadiaque avec un clip de doigt ou d'oreille. Ils réalisent les branchements et prennent les mesures. La trame d'un diaporama leur est fournie pour présenter leurs travaux à la classe. </t>
  </si>
  <si>
    <t xml:space="preserve">En partant d’un cas concret :  «  A la fin de la journée, je mets en ligne les données acquises par le capteur connecté de mon smartphone (fréquence cardiaque, nombre de pas, position…) »   Question : Est-ce que le fait de mettre ces données en ligne respecte mon intégrité et mon intimité ? Préparation du débat : 3 groupes "défenseurs" et 3 "détracteurs" recherchent deux arguments. Lors du débat, l'orateur d'un groupe muni d'un bâton de parole présente son argument. Les autres orateurs doivent le contrer. </t>
  </si>
  <si>
    <t xml:space="preserve">Dans la famille des O.T. permettant de mesurer la fréquence cardiaque, trois lignées ont été mises en évidence : le son, la lumière, la pression peuvent être des principes techniques utilisés pour mesurer la fréquence cardiaque. </t>
  </si>
  <si>
    <t>La chaîne d'information - L'algorithme - La programmation par blocs et quelques fonctions</t>
  </si>
  <si>
    <t>Les bonnes attitudes à adopter lors de l'utilisation d'objets connectés</t>
  </si>
  <si>
    <t>Sites internet</t>
  </si>
  <si>
    <t>Des cartes Arduino                                                                                                                               Des modules Grove : rythme cardiaque, clip oreille et doigt                                                 Le logiciel Mblock</t>
  </si>
  <si>
    <t>Site CNIL, charte internet, site « internet pour les ados », site Internet</t>
  </si>
  <si>
    <t>s24</t>
  </si>
  <si>
    <t>Cette séquence débute par une séance d'observation et d'analyse d'un sytème automatique en fonctionnement. Elle se poursuivra par la découverte d'un système de commande utilisant la technologie RFID afin de l'adapter à notre système. La finalité de la séquence étant de programmer le fonctionnement automatique d'un portail.</t>
  </si>
  <si>
    <t>Visualisation d'une vidéo montrant le fonctionnement d'un portail automatique.</t>
  </si>
  <si>
    <t>Les élèves doivent être capables de compléter un porgramme permettant de mettre en œuvre un système automatique simple comportant plusieurs variables d'entrée et de sortie.</t>
  </si>
  <si>
    <t>L'évaluation formative sera appliquée tout au long des séances.</t>
  </si>
  <si>
    <t>3°</t>
  </si>
  <si>
    <t>Sciences, technologie et société.</t>
  </si>
  <si>
    <t>Information, communication et citoyenneté.</t>
  </si>
  <si>
    <t>Décrivons le fonctionnement d'un portail automatique</t>
  </si>
  <si>
    <t>Comment être "reconnu" par son portail ?</t>
  </si>
  <si>
    <t>Réalisation du programme de commande du portail.</t>
  </si>
  <si>
    <t>Les élèves visualisent une vidéo montrant le fonctionnement d'un portail automatique. A l'aide d'un document ils doivent décrire le fonctionnement du système à l'aide de phrases simples : "passage de la carte", "le feu clignote", "le portail s'ouvre"... Réalisation d'une synthèse par îlot puis comparaison des réponses proposées par les autres groupes.</t>
  </si>
  <si>
    <t xml:space="preserve">En îlot, étude de documents, de courts reportages mettant en avant l'utilisation de la technologie RFID dans des situations banales de la société (carte de paiement, de fidélité, métro, suivi des patients dans les hôpitaux...) Adaptation de cette technologie sur notre maquette de portail ?
Comment faisait-on avant ? Quelles sont les évolutions technologiques ? Quels peuvent être les impacts sur la société ?
En îlot, étude de documents, de courts reportages mettant en avant l'utilisation de la technologie RFID dans des situations banales de la société (carte de paiement, de fidélité, métro, suivi des patients dans les hôpitaux...) Adaptation de cette technologie sur notre maquette de portail ?
Comment faisait-on avant ? Quelles sont les évolutions technologiques ? Quels peuvent être les impacts sur la société ?
</t>
  </si>
  <si>
    <t>Réalisation de tout ou partie (ouverture) du programme de commande en définissant les actions à réaliser au niveau du moteur et en récupérant et utilisant les informations venant des capteurs de la maquette.</t>
  </si>
  <si>
    <t>Travail collaboratif en îlots</t>
  </si>
  <si>
    <t>En îlot, étude de documents, de courts reportages mettant en avant l'utilisation de la technologie RFID dans des situations banales de la société (carte de paiement, de fidélité, métro, suivi des patients dans les hôpitaux...) Adaptation de cette technologie sur notre maquette de portail ? Comment faisait-on avant ? Quelles sont les évolutions technologiques ? Quels peuvent être les impacts sur la société ?</t>
  </si>
  <si>
    <t>Expérimentations des programmes (en îlots) puis transfert sur la carte programmable de la maquette.</t>
  </si>
  <si>
    <t xml:space="preserve">Notion d'actions, de résultats d'action. Bilan écrit par groupe sur VPI (réseau) </t>
  </si>
  <si>
    <t>Réalisation d'une critique personnelle (support informatique) sur l'évolution et la place de la technologie en fonction des innovations constatées et du contexte socio-économique associé.</t>
  </si>
  <si>
    <t>Programme réalisé  puis testé sur la maquette
après modification.</t>
  </si>
  <si>
    <t>• Vidéo d'un portail en fonctionnement, réseau, VPI</t>
  </si>
  <si>
    <t>• Ordinateur, ENT, WEB</t>
  </si>
  <si>
    <t>• Ordinateur,réseau
• Carte programmable
• Maquette de portail + capteurs et actionneurs</t>
  </si>
  <si>
    <t xml:space="preserve">Comment piloter par l’intermédiaire d’un Smartphone ou d’une tablette un système technique ? </t>
  </si>
  <si>
    <t xml:space="preserve">Comment utiliser  la technologie RFID ? (ouvrir automatiquement un portail ) </t>
  </si>
  <si>
    <t>s25</t>
  </si>
  <si>
    <t>Cette séquence doit permettre à un élève de comprendre les principes utilisés pour piloter un système technique  (à base d'Arduino) à partir d'une application sous Android (en bluetooth). L'élève abordera la notion de transmission de l'information, développera une application sous App-Inventor et  integrera sous Arduino (Ardublock) la gestion du bluetooth pour le pilotage à distance.</t>
  </si>
  <si>
    <t>Vidéo montrant l'utilsation d'un smartphone ou d'une tablette pour contrôler les automatismes d'une maison (volets roulants, régulation de température à distance, …) ou bien utilisation d'une maquette du labo de techno.</t>
  </si>
  <si>
    <t xml:space="preserve">Une synthèse des activités est menée et permet de revenir sur les notions abordées lors des 3 séances précédentes. 
Création d’un document numérique montrant les différentes étapes à suivre pour développer une application sous Android et pour piloter un système technique à base d’arduino.
</t>
  </si>
  <si>
    <t>A la fin de la séquence, les élèves doivent être capable de développer une application simple sous App-Inventor et de modifier un programme sous Ardublock afin de prendre en compte les messages envoyés par cette application (en Bluetooth). -&gt; Travail de groupe sur un système technique.</t>
  </si>
  <si>
    <t>Participer à la découverte des metiers liés à la programmation dans le web, les smartphones, …</t>
  </si>
  <si>
    <t>Notion sur l'Arduino</t>
  </si>
  <si>
    <t>Notion de programmation sous Ardublock</t>
  </si>
  <si>
    <t>Comment transmettre une information entre 2 constituants d’un système technique ?</t>
  </si>
  <si>
    <t>Comment développer une application sous Android  et l’utiliser ?</t>
  </si>
  <si>
    <t>Comment intégrer la gestion du Bluetooth au sein d’un système technique à base d’Arduino ?</t>
  </si>
  <si>
    <t xml:space="preserve">Cette séance est divisée en 2 parties. 
Partie 1 : les élèves, par groupe, travaillent sur les différentes façons de transmettre une information (avec ou sans fil). Ils abordent la notion de débit et portée. A la fin de cette partie, on positionne la suite du travail sur le Bluetooth.
Partie 2 : les élèves, par groupe, réfléchissent à la façon dont un émetteur et un récepteur peuvent communiquer. On aborde la notion de message envoyé et le type de message (caractère ASCII, codage,…).
</t>
  </si>
  <si>
    <t>A partir d’un exemple simple, on introduit la notion de programmation par blocs sous App-inventor. Chaque groupe aborde le travail sur l’élaboration de l’IHM (Interface Homme Machine) qui va permettre de communiquer avec un système technique afin de le piloter. Pour pouvoir observer le comportement de leur application, il utilise un Arduino connecté à module Bluetooth. Le programme implémenté dans l’arduino permet aux élèves d’observer les messages envoyés via le moniteur série (On aborde la configuration d’une tablette en Bluetooth). A la fin de la séance, chaque groupe d’élèves disposera d’une application qui permettra d’envoyer un message (on se limitera pour le message à un caractère ASCII) en Bluetooth.</t>
  </si>
  <si>
    <t xml:space="preserve">Chaque groupe d’élèves travaille sur l’intégration de la gestion du Bluetooth au sein d’un système technique différent à base d’Arduino (Portail coulissant, Gestion d’éclairage extérieur, Porte avec gâche électrique). Pour cela, chaque groupe dispose d’un programme sous Ardublock dans lequel il faudra ajouter une partie traitement des informations reçues par le module Bluetooth. </t>
  </si>
  <si>
    <t>Recherche d'informations.</t>
  </si>
  <si>
    <t>On guide l'élève pas à pas pour l'élaboration de l'application sous App-Inventor -&gt; Investigation.</t>
  </si>
  <si>
    <t>On demande aux élèves d'intégrer dans un système technique la gestion du bluetooth pour le pilotage à distance  -&gt; Résolution de problèmes.</t>
  </si>
  <si>
    <t xml:space="preserve">• Bilan écrit par groupe sur VPI (réseau). </t>
  </si>
  <si>
    <t>• Programme réalisé sous App-inventor et création de l’application apk qui sera installée sur la tablette pour la séance suivante.</t>
  </si>
  <si>
    <t>• Programme réalisé sur Ardublock puis testé sur la maquette après modification(s).
• Essais et pilotage de chacune des maquettes.</t>
  </si>
  <si>
    <t>• Doc sur les différentes transmissions</t>
  </si>
  <si>
    <t xml:space="preserve">• Ordinateur, ENT.
• Carte Arduino
• Tablettes
</t>
  </si>
  <si>
    <t>• Ordinateur, réseau
• Carte Arduino
• Tablettes 
• Maquette des systèmes câblée.</t>
  </si>
  <si>
    <t>s26</t>
  </si>
  <si>
    <t>s27</t>
  </si>
  <si>
    <t>s28</t>
  </si>
  <si>
    <t>Appropriation du CDC et Recherches de solutions</t>
  </si>
  <si>
    <t>Réalisation, test et validation - Présentation finale, synthèse</t>
  </si>
  <si>
    <t>Les robots...Avancée technologique ? .. Espoir ? ..  Inquiétude ? Quels impacts sur la société ?</t>
  </si>
  <si>
    <t>Les élèves découvrent le challenge. Ils listent les contraintes et élaborent  des stratégies pour relever le défi proposé.
Appropriation du CDC et Recherches de solutions</t>
  </si>
  <si>
    <t>Vidéo du challenge précédent ou vidéo simulant le parcours que doit accomplir le robot.</t>
  </si>
  <si>
    <t>Pour concevoir le robot, il faut traduire en contraintes le réglement du défi. Le décomposer en fonctions et quantifier les performances attendues de chacunes.
Chaine d'information, chaine d'énergie.</t>
  </si>
  <si>
    <t xml:space="preserve">Croquis de la chaine d'information et d'énergie du robot de base proposé. </t>
  </si>
  <si>
    <t>3ème</t>
  </si>
  <si>
    <t>Sciences, technologie et société
Monde professionnel et économique
Corps, santé, bien-être et sécurité
Lien avec lycées et écoles d'ingénieurs</t>
  </si>
  <si>
    <t>Environnement de scratch
Savoir créer des boucles.
Notion de capteur</t>
  </si>
  <si>
    <t>Comment élaborer le cahier des charges ?</t>
  </si>
  <si>
    <t>Comment réagit le robot face à un obstacle ?</t>
  </si>
  <si>
    <t xml:space="preserve">Quelle stratégie adapter pour répondre au challenge ? </t>
  </si>
  <si>
    <t>A partir du règlement du défi, les élèves complètent le cahier des charges.</t>
  </si>
  <si>
    <t xml:space="preserve">Découverte sommaire du robot et les capteurs disponibles (capteurs à lamelle, détecteur de ligne). Compléter une partie de programme </t>
  </si>
  <si>
    <t xml:space="preserve">Imaginer comment le robot va répondre au défi.  Déterminer les informations de son environnement qui seront prises en compte et commander les actionneurs nécessaires pour réaliser les fonctions techniques. </t>
  </si>
  <si>
    <t>Investigation en îlots.</t>
  </si>
  <si>
    <t>Projet</t>
  </si>
  <si>
    <t>Présentation schématique des contraintes et des fonctions techniques attendues</t>
  </si>
  <si>
    <t>Type de signal :analogique ou numérique</t>
  </si>
  <si>
    <t>Croquis de la nouvelle chaîne d'information et du traitement fait sur les données.</t>
  </si>
  <si>
    <t>Règlement du challenge.</t>
  </si>
  <si>
    <t>Le robot avec le début du programme permettant le déplacement et la prise en compte de l'environement.</t>
  </si>
  <si>
    <t>Rappel sur la structure de'une chaine d'énergie et d'information.</t>
  </si>
  <si>
    <t>Les élèvent développent leur programme sous scratch. Ils constatent les écarts entre les attendues du programme et le réalisé du robot et les corrigent.
Ils présentent l'ensemble de leur travail dans une revue de projet.</t>
  </si>
  <si>
    <t>Les élèves doivent être capables de réaliser le porgramme permettant au robot de traverser le parcours.</t>
  </si>
  <si>
    <t>Observation des présentations, conformité avec le cahier des charges, plannification du travail</t>
  </si>
  <si>
    <t>Comment programmer le robot pour qu'il puisse traverser le parcours ?</t>
  </si>
  <si>
    <t>Comment présenter dynamiquement le résultat d'un projet ?</t>
  </si>
  <si>
    <t xml:space="preserve">Réalisation de tout ou partie (ouverture) du programme de commande en définissant les actions à réaliser au niveau des moteurs, en récupérant et utilisant les informations venant des capteurs du robot.
Faire dans chaque groupe l'état des lieux de l'avancement du projet et ajuster le planning prévisionnel.
     </t>
  </si>
  <si>
    <t>Réalisation de tout ou partie (ouverture) du programme de commande en définissant les actions à réaliser au niveau des moteurs, en récupérant et utilisant les informations venant des capteurs du robot.      
Elaboration d'un protocole de test pour valider la solution.</t>
  </si>
  <si>
    <t>Réalisation d'un diaporama intégrant le schéma de la chaine d'énergie et d'info,  l'organisation choisie dans le groupe ainsi que  le protocole de test.
Présentation à l'oral et démonstration du robot.</t>
  </si>
  <si>
    <t xml:space="preserve">Expérimentations des programmes (en îlots) puis transfert sur la carte programmable du robot.      </t>
  </si>
  <si>
    <t>Programme réalisé  puis testé sur la maquette après modification.</t>
  </si>
  <si>
    <t xml:space="preserve">Ressources sur la programmation des capteurs 
Robot, plateau de test
     </t>
  </si>
  <si>
    <t>Ressources sur la programmation des capteurs
Robot, plateau de test</t>
  </si>
  <si>
    <t>Logiciel de présentation</t>
  </si>
  <si>
    <t xml:space="preserve">Les robots sont partout : dans les usines et dans les champs, au fond des  mers, dans  l’espace,  dans  les  jardins  et  les  salons de vos maisons.  Ils  ont  une importance économique grandissante, d’aucuns prédisent qu’ils seront au XXIe siècle ce que la voiture fut au XXe siècle.
</t>
  </si>
  <si>
    <t>Extrait de la vidéo "la voiture autonome"  un robot à la place du chauffeur…Les robots dans la vie quotidienne,,,</t>
  </si>
  <si>
    <t xml:space="preserve">En fin de séquence l' élève doit être capable de :
1-Comparer et commenter les évolutions des objets et systèmes
2-Exprimer sa pensée à l’aide d’outils de description adaptés 
3-Développer les bonnes pratiques de l’usage des objets communicants
</t>
  </si>
  <si>
    <t xml:space="preserve">Une évaluation " Maîtrise insuffisante /Maîtrise fragile/ Maîtrise satisfaisante /Très bonne maîtrise  " des attendus de fin de cycle :                                                       
1-Comparer et commenter les évolutions des objets et systèmes
2-Exprimer sa pensée à l’aide d’outils de description adaptés 
3-Développer les bonnes pratiques de l’usage des objets communicants
</t>
  </si>
  <si>
    <t>Rechercher d'informations sur le sujet traité :" La robotique dans notre vie quotidienne"</t>
  </si>
  <si>
    <t>Les robots à l'école...?</t>
  </si>
  <si>
    <t>Structuration des connaissances</t>
  </si>
  <si>
    <t xml:space="preserve">Travail à faire à la maison; classe inversée
Visionner les vidéos- Listing des vidéos fourni sur l'ENT- Compléter les documents d'analyse
Qualité et pertinence des réponses. Apports de connaissances
</t>
  </si>
  <si>
    <t>Chaque groupe intervient entre 3 et 5 min, il doit mettre en évidence "le pour" et "le contre".  Les élèves qui sont spectateurs posent les questions et prennent des notes pour construire la synthèse.  Les outils de présentation sont laissés à l'initiative des élèves.</t>
  </si>
  <si>
    <t xml:space="preserve">Synthèse des présentations. Prise de parole, outils utilisés...
Au vidéoprojecteur les élèves vont construire les familles de robots, les applications, les impacts sur la société. Carte heuristique collaborative.(Tablettes + Mindomo)
</t>
  </si>
  <si>
    <t xml:space="preserve">Démarche </t>
  </si>
  <si>
    <t>La synthèse prend la forme d'une ligne de temps, chaque groupe prend en charge une problématique développée dans les 5 vidéos analysées ( Les robots vont-ils nous mettent au chômage ? , Les robots peuvent-ils aider les personnes dépendantes ? , Les robots vont-ils remplacer les techniciens qui construisent ? , Les robots "agriculteurs" représentent-ils une avancée technologique ou un danger ? , Les robots "militaires" font-ils une guerre propre ?</t>
  </si>
  <si>
    <t xml:space="preserve">Rédaction d'une note pour le groupe
  Mise au propre des notes à faire dans le cahier pour la prochaine séance
</t>
  </si>
  <si>
    <t xml:space="preserve">Carte heuristique; production des élèves
Rédaction de l'article qui sera publié dans l'ENT
</t>
  </si>
  <si>
    <t xml:space="preserve">Liens "QR-code" vers 6 vidéos </t>
  </si>
  <si>
    <t>• Salle aménagée en "plateau télé". VPI</t>
  </si>
  <si>
    <t>outil collaboratif, Tablettes. VPI</t>
  </si>
  <si>
    <t xml:space="preserve">Comment automatiser des tâches sur son smartphone? </t>
  </si>
  <si>
    <t>s29</t>
  </si>
  <si>
    <t>X</t>
  </si>
  <si>
    <t>On utilise régulièrement son smartphone pour réaliser les mêmes actions ( réveil, musique, couper wifi/bluetooth), Découvrir et comparer ses différentes connectivités .Utiliser la technologie NFC pour programmer son smartphone.Mettre en évidence les règles d'un usage raisonné.</t>
  </si>
  <si>
    <t>Et si on pouvait programmer son smartphone? Vidéo montrant les possibiltés de programmation d'un smartphone</t>
  </si>
  <si>
    <t>Savoir comparer les différents standards de connectivités sans fil (2G,3G,4G, wifi,bluetooth,nfc) et les règles d'utilisation . Savoir programmer un smartphone à partir d'un scénario</t>
  </si>
  <si>
    <t>Programmer un smartphone avec une carte de ski( recyclage)</t>
  </si>
  <si>
    <t>Sciences, technologie et société</t>
  </si>
  <si>
    <t>Quels sont les différents standards de connectivités sans fil sur un smartphone?</t>
  </si>
  <si>
    <t>Dans quel domaine utilise-t-on la RFID et le NFC ?</t>
  </si>
  <si>
    <t>Comment automatiser des tâches sur son smartphone?</t>
  </si>
  <si>
    <t>Décrire et comparer les différents standards de connectivités  sans fil,</t>
  </si>
  <si>
    <t>Rechercher les applications possibles de la RFID et mettre en évidence les règles d'un usage raisonné ( sécurité liée à l'utilisation des cartes bancaires)</t>
  </si>
  <si>
    <t>Imaginer des scénarios  puis programmer un "tag" RFID pour automatiser son téléphone portable</t>
  </si>
  <si>
    <t>Définir NFC  et RFID</t>
  </si>
  <si>
    <t>Les usages de la RFID et du NFC. Les règles d'un usage raisonné du NFC</t>
  </si>
  <si>
    <t>Diagramme, déclenchement d'une action par un évènement, séquences d'instructions.</t>
  </si>
  <si>
    <t>Document sur les normes</t>
  </si>
  <si>
    <t>articles de presse, site web, vidéo</t>
  </si>
  <si>
    <t>Smartphone et "tag" RFID ( acheté ou utiliser des  cartes de bus, ski,,,,)</t>
  </si>
  <si>
    <t>Comment aider une personne ayant subi un AVC à rééduquer la motricité de ses membres supérieures à l'aide de la réalité augmentée ?</t>
  </si>
  <si>
    <t>s30</t>
  </si>
  <si>
    <t xml:space="preserve">Cette séquence vise, en mode collaboratif, à concevoir, programmer une application permettant de rééduquer les membres supérieurs d'une personne ayant subi un AVC à l'aide de la réalité augmentée issue d'une caméra.
Elle est organisée autour de 3 problématiques :
 - Comment aider à la rééducation d'une personne à l'aide de la réalité augmentée  ?
 - Quelle scénario et organisation graphique proposer pour répondre au besoin ?
 - Comment programmer cette application sous Mblock ? 
Les élèves vont ainsi découvrir un autre type de capteur déclenchant une action qu'est la caméra. Après avoir découvert les diagramme SysML du mini-projet, ils vont en groupe réfléchir à un scénario possible et le traduire sous forme littérale puis sous forme d’un organigramme. Suite à cela, ils programmeront leur application et présenteront leur travail afin de le valider (ou non). Ils détermineront d'autres applications possibles avec une caméra et Mblock (surveillance, sécurité d'accès ...) </t>
  </si>
  <si>
    <t>Problématique "Séance 1"</t>
  </si>
  <si>
    <t>Les systèmes et objets technologiques aidant à la santé - la réalité augmentée - les modes de représentations (SysML - textes - organigramme - visuel réel)</t>
  </si>
  <si>
    <t>Classe de 3ème</t>
  </si>
  <si>
    <t>Les métiers de la rééducation : ergothérapeute, kiné et psychomotricien</t>
  </si>
  <si>
    <t>Utilsation de Mblock</t>
  </si>
  <si>
    <t>Comment aider à la rééducation d'une personne à l'aide de la réalité augmentée  ?</t>
  </si>
  <si>
    <t>Quels scénario et organisation graphique proposer pour répondre au besoin ?</t>
  </si>
  <si>
    <t xml:space="preserve">Comment programmer cette application sous Mblock ? </t>
  </si>
  <si>
    <t>Présentation de la thématique aux élèves et de la finalité de ce mini-projet
Echange oral sur les questions à se poser avant de se lancer dans le projet et mise en groupe pour recherches (ressources : Net et document du professeur Derkinderen)
Bilan de celles-ci (définition d'un AVC, mise en avant des répercutions et des méthodes de rééducation ainsi que des définitions de la réalité augmentée et de la réalité virtuelle)
Mise en lien de la rééducation et de la réalité augmentée
Présentation du SysML du projet, décryptage et bilan rapide
Devoir maison : Réfléchir à une ébauche de scénario</t>
  </si>
  <si>
    <t>Retour sur le mini projet et sur ses spécificités
Echanges sur les possibilité de Mblock et de la webcam pour aider à la rééducation avec présentation de la gestion de Webcam par Mblock pour la détection des mouvements
Mise en groupe pour échanges sur les travaux maison, puis détermination (avec utilisation de Mblock pour s’aider des différents lutins et autres pour trouver/améliorer des idées) : 
  - du scénario permettant de faire bouger précisément le bras et les doigts de l'utilisateur en agissant sur des lutins via une webcam =&gt; forme littérale, puis algorithme simplifié
  - de l'interface graphique de l'application
Présentation (si le temps le permet) de ces travaux à l'oral pour échanges
Echanges sur les travaux présentés</t>
  </si>
  <si>
    <t>Présentation détaillée des outils de Mblock inconnus des élèves suite à l’étude des différents travaux réalisés en séance 2 et rappel des méthodes pour créer des sous-programmes (bloc personnalisé sous Mblock).
Programmation du scénario par les élèves
Test de celui-ci et apport de correctifs
Présentation orale des travaux et vérification de leurs conformités par rapport au cahier des charges
Formalisation des compétences et connaissances : 
  - Bilan des compétences travaillées et des travaux effectués
  - Bilan des outils utilisés sous Mblock
  - Réalité augmentée – SysML – autres applications possibles</t>
  </si>
  <si>
    <t>Recherches et échanges</t>
  </si>
  <si>
    <t>La réalité augmentée - Les objets et systèmes aidant à la santé - la représentation SysML</t>
  </si>
  <si>
    <t>Les langage de description (structure) - Les modes de représentation (forme littérale - organigramme - visuel réel)</t>
  </si>
  <si>
    <t>Les outils sous Mblock - Les écarts entre la  saisie et la réalité (exemples), les applications de la réalité augmentée</t>
  </si>
  <si>
    <t>Article du professeur - Net</t>
  </si>
  <si>
    <t>Logiciel Mblock + webcam</t>
  </si>
  <si>
    <t>PROJET N°1  : Automatiser le fonctionnement d'une serre aquaponique</t>
  </si>
  <si>
    <t>PROJET N°2  : Adapter un éclairage public.</t>
  </si>
  <si>
    <t>PROJET N°3  : L'ordinateur Low Cost</t>
  </si>
  <si>
    <t>PROJET N°4 : Comment optimiser les apports solaires sur le toit d'un immeuble ?</t>
  </si>
  <si>
    <t>Projet N°5  : Challenge robotique</t>
  </si>
  <si>
    <t xml:space="preserve">Projet N°5  : Challenge robotique
</t>
  </si>
  <si>
    <t>Il y a pénurie de logements étudiants dans le monde entier. Sur Dunkerque, il y a possibilité de construire rapidement et d’une manière économique de petits studios étudiants en recyclant en habitation des conteneurs usagés (conteneurs qui ont circulé 15 ans sur les mers).</t>
  </si>
  <si>
    <t>Il n'est pas facile de se loger aujourd'hui en France quand on est étudiant et que l'on dispose de peu de revenus.
- Devant la pénurie de logements étudiants le Crous tente de trouver des solutions (une vidéo de 32 s).
- La pénurie de logements étudiants est un problème mondial. Des solutions de logements économiques vont vous être proposées (images et articles de pages web). Quelle solution choisiriez-vous pour Dunkerque ?</t>
  </si>
  <si>
    <t>- Des besoins à satisfaire et des contraintes à respecter (CdCF).
- Cycle de vie et impact sur l'environnement.
- Outils numériques de description d'une structure.
- Carte heuristique.</t>
  </si>
  <si>
    <t>- Des connaissances : vocabulaire
- Une tâche complexe : un aménagement de conteneur est proposé. Quelles sont les contraintes du cahier des charge qui n'ont pas été respectées ?
- Connaissance : cycle de vie d'un produit. Réflexion : impact sur l'environnement.</t>
  </si>
  <si>
    <t>5ème, Séquence 4</t>
  </si>
  <si>
    <t>Parcours avenir et découverte des métiers</t>
  </si>
  <si>
    <t>PEAC</t>
  </si>
  <si>
    <t>Quelle solution de logement économique envisager pour Dunkerque ?</t>
  </si>
  <si>
    <t>Comment penser en équipe l'aménagement intérieur du conteneur ?</t>
  </si>
  <si>
    <t>Comment rendre compte efficacement du travail effectué ? </t>
  </si>
  <si>
    <t>1 - Choix d'un logement alternatif et économique pour Dunkerque.
2 - Appropriation d'un cahier des charges simplifié (besoins, exigences, contraintes).</t>
  </si>
  <si>
    <t>1 - Un groupe d'experts est en formation (une_cuisine_laboratoire.mp4).
2 - Une demi-équipe prend en main Sweet Home 3D et propose un début d'aménagement.
3 - Bientôt  rejointe par le groupe des experts, l'équipe au complet finalise l'aménagement.</t>
  </si>
  <si>
    <t>1 - Préparation de l'oral : dans chaque groupe, les élèves sont amenés à réexaminer leur proposition d'aménagement en regard de la carte mentale proposée.
2 - Présentation orale à la classe : la carte mentale du projet est présentée le projet est commenté.</t>
  </si>
  <si>
    <t>1 - Chaque équipe examine une des propositions de logements alternatifs et justifie le choix de cette proposition ou son rejet. Les réponses sont recoupées et mises en forme au tableau.
2 - Classe entière.  Analyse des besoins : appropriation du CdCF simplifié (170614 -1).</t>
  </si>
  <si>
    <t>Projet : conception préliminaire en demi-équipe et conception détaillée lorsque chaque équipe est au complet.</t>
  </si>
  <si>
    <t>Projet : revue de projet.</t>
  </si>
  <si>
    <t>Conclusion intermédiaire  en  2 séquences vidéos : « J'habite dans des conteneurs » (36 s) et « Impact sur l'environnement » (38 s).
Conclusion de fin de séance : le cahier des charges fonctionnel simplifié : besoins, exigences, contraintes (Cf. 170614S).</t>
  </si>
  <si>
    <t>Les outils numériques de description d'une structure (Cf. 170614S).</t>
  </si>
  <si>
    <t>Carte heuristique (Cf. 170614S).</t>
  </si>
  <si>
    <r>
      <rPr>
        <sz val="9"/>
        <color rgb="FF000000"/>
        <rFont val="Arial"/>
        <family val="2"/>
        <charset val="128"/>
      </rPr>
      <t>Articles : pénurie en Suède, pénurie au Havre, hôtels capsule au Japon. Images : chambre de bonne parisienne, cabanes en bois.</t>
    </r>
    <r>
      <rPr>
        <sz val="9"/>
        <color rgb="FF000000"/>
        <rFont val="Arial"/>
        <family val="2"/>
        <charset val="128"/>
      </rPr>
      <t>Document : 170614 -1.</t>
    </r>
  </si>
  <si>
    <t>Vidéo : La cuisine de Francfort de Grete Schüte Lihotzky (une_cuisine_laboratoire.mp4)
Logiciel Sweet Home 3D et un fichier de départ (conteneur_vide.sh3d).
Documents : 170614 -1, 2 et 3.</t>
  </si>
  <si>
    <t>Logiciel Freeplane ou équivalent et le fichier de départ (travail_groupe.mm).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</si>
</sst>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_-;\-* #,##0.00\ _€_-;_-* &quot;-&quot;??\ _€_-;_-@_-"/>
    <numFmt numFmtId="164" formatCode="[$-40C]General"/>
    <numFmt numFmtId="165" formatCode="#,##0.00&quot; &quot;[$€-40C];[Red]&quot;-&quot;#,##0.00&quot; &quot;[$€-40C]"/>
    <numFmt numFmtId="166" formatCode="0;\-0;;@"/>
    <numFmt numFmtId="167" formatCode="0;\-0;&quot;&quot;;@"/>
  </numFmts>
  <fonts count="124">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i/>
      <sz val="16"/>
      <color rgb="FF000000"/>
      <name val="Calibri"/>
      <family val="2"/>
    </font>
    <font>
      <b/>
      <i/>
      <u/>
      <sz val="11"/>
      <color rgb="FF000000"/>
      <name val="Calibri"/>
      <family val="2"/>
    </font>
    <font>
      <b/>
      <sz val="6"/>
      <color rgb="FF000000"/>
      <name val="Calibri"/>
      <family val="2"/>
    </font>
    <font>
      <b/>
      <sz val="10"/>
      <color rgb="FF000000"/>
      <name val="Calibri"/>
      <family val="2"/>
    </font>
    <font>
      <sz val="10"/>
      <color rgb="FF000000"/>
      <name val="Calibri"/>
      <family val="2"/>
    </font>
    <font>
      <b/>
      <sz val="9"/>
      <color rgb="FF000000"/>
      <name val="Calibri"/>
      <family val="2"/>
    </font>
    <font>
      <sz val="10"/>
      <color rgb="FF7030A0"/>
      <name val="Calibri"/>
      <family val="2"/>
    </font>
    <font>
      <b/>
      <sz val="11"/>
      <color rgb="FF000000"/>
      <name val="Calibri"/>
      <family val="2"/>
    </font>
    <font>
      <sz val="11"/>
      <name val="Calibri"/>
      <family val="2"/>
    </font>
    <font>
      <sz val="9"/>
      <color rgb="FF000000"/>
      <name val="Calibri"/>
      <family val="2"/>
    </font>
    <font>
      <sz val="12"/>
      <color theme="1"/>
      <name val="Calibri"/>
      <family val="2"/>
      <scheme val="minor"/>
    </font>
    <font>
      <sz val="10"/>
      <color indexed="8"/>
      <name val="Arial"/>
      <family val="2"/>
    </font>
    <font>
      <b/>
      <sz val="12"/>
      <color indexed="8"/>
      <name val="Arial"/>
      <family val="2"/>
    </font>
    <font>
      <b/>
      <sz val="10"/>
      <color indexed="8"/>
      <name val="Arial"/>
      <family val="2"/>
    </font>
    <font>
      <i/>
      <sz val="12"/>
      <color indexed="8"/>
      <name val="Calibri"/>
      <family val="2"/>
    </font>
    <font>
      <sz val="9"/>
      <color indexed="8"/>
      <name val="Arial"/>
      <family val="2"/>
    </font>
    <font>
      <b/>
      <sz val="11"/>
      <color theme="1"/>
      <name val="Calibri"/>
      <family val="2"/>
      <scheme val="minor"/>
    </font>
    <font>
      <sz val="10"/>
      <color theme="1"/>
      <name val="Calibri"/>
      <family val="2"/>
      <scheme val="minor"/>
    </font>
    <font>
      <b/>
      <sz val="11"/>
      <color rgb="FF000000"/>
      <name val="Calibri"/>
      <family val="2"/>
      <scheme val="minor"/>
    </font>
    <font>
      <i/>
      <sz val="11"/>
      <color theme="1"/>
      <name val="Calibri"/>
      <family val="2"/>
      <scheme val="minor"/>
    </font>
    <font>
      <b/>
      <sz val="10"/>
      <color theme="1"/>
      <name val="Calibri"/>
      <family val="2"/>
      <scheme val="minor"/>
    </font>
    <font>
      <b/>
      <sz val="12"/>
      <color rgb="FF31849B"/>
      <name val="Calibri"/>
      <family val="2"/>
      <scheme val="minor"/>
    </font>
    <font>
      <sz val="10"/>
      <color rgb="FF00000A"/>
      <name val="Calibri"/>
      <family val="2"/>
      <scheme val="minor"/>
    </font>
    <font>
      <b/>
      <sz val="11"/>
      <color rgb="FF00000A"/>
      <name val="Calibri"/>
      <family val="2"/>
      <scheme val="minor"/>
    </font>
    <font>
      <i/>
      <sz val="11"/>
      <color rgb="FF000000"/>
      <name val="Calibri"/>
      <family val="2"/>
    </font>
    <font>
      <b/>
      <sz val="12"/>
      <color theme="1"/>
      <name val="Calibri"/>
      <family val="2"/>
      <scheme val="minor"/>
    </font>
    <font>
      <b/>
      <i/>
      <sz val="11"/>
      <color rgb="FF000000"/>
      <name val="Calibri"/>
      <family val="2"/>
    </font>
    <font>
      <b/>
      <sz val="14"/>
      <color rgb="FF000000"/>
      <name val="Calibri"/>
      <family val="2"/>
    </font>
    <font>
      <b/>
      <sz val="20"/>
      <color rgb="FF000000"/>
      <name val="Calibri"/>
      <family val="2"/>
    </font>
    <font>
      <vertAlign val="superscript"/>
      <sz val="10"/>
      <color rgb="FF000000"/>
      <name val="Calibri"/>
      <family val="2"/>
    </font>
    <font>
      <b/>
      <sz val="16"/>
      <color rgb="FF000000"/>
      <name val="Calibri"/>
      <family val="2"/>
    </font>
    <font>
      <b/>
      <sz val="14"/>
      <color theme="1"/>
      <name val="Calibri"/>
      <family val="2"/>
      <scheme val="minor"/>
    </font>
    <font>
      <sz val="16"/>
      <color rgb="FF000000"/>
      <name val="Calibri"/>
      <family val="2"/>
    </font>
    <font>
      <sz val="11"/>
      <color rgb="FF000000"/>
      <name val="Arial"/>
      <family val="2"/>
    </font>
    <font>
      <b/>
      <sz val="11"/>
      <color rgb="FF000000"/>
      <name val="Arial"/>
      <family val="2"/>
    </font>
    <font>
      <sz val="11"/>
      <color rgb="FF00000A"/>
      <name val="Arial"/>
      <family val="2"/>
    </font>
    <font>
      <sz val="11"/>
      <color theme="1"/>
      <name val="Arial"/>
      <family val="2"/>
    </font>
    <font>
      <sz val="9"/>
      <color rgb="FF000000"/>
      <name val="Arial"/>
      <family val="2"/>
    </font>
    <font>
      <sz val="6"/>
      <color rgb="FF000000"/>
      <name val="Arial"/>
      <family val="2"/>
    </font>
    <font>
      <sz val="8"/>
      <color rgb="FF000000"/>
      <name val="Arial"/>
      <family val="2"/>
    </font>
    <font>
      <b/>
      <sz val="9"/>
      <name val="Arial"/>
      <family val="2"/>
    </font>
    <font>
      <b/>
      <sz val="9"/>
      <color rgb="FF000000"/>
      <name val="Arial"/>
      <family val="2"/>
    </font>
    <font>
      <sz val="11"/>
      <name val="Arial"/>
      <family val="2"/>
    </font>
    <font>
      <b/>
      <sz val="22"/>
      <color rgb="FF000000"/>
      <name val="Arial"/>
      <family val="2"/>
    </font>
    <font>
      <sz val="10"/>
      <color rgb="FF000000"/>
      <name val="Arial"/>
      <family val="2"/>
    </font>
    <font>
      <b/>
      <sz val="11"/>
      <color theme="1"/>
      <name val="Arial"/>
      <family val="2"/>
    </font>
    <font>
      <sz val="10"/>
      <color theme="1"/>
      <name val="Arial"/>
      <family val="2"/>
    </font>
    <font>
      <b/>
      <i/>
      <sz val="11"/>
      <color rgb="FF000000"/>
      <name val="Arial"/>
      <family val="2"/>
    </font>
    <font>
      <vertAlign val="superscript"/>
      <sz val="11"/>
      <color rgb="FF000000"/>
      <name val="Calibri"/>
      <family val="2"/>
    </font>
    <font>
      <sz val="11"/>
      <name val="Calibri"/>
      <family val="2"/>
      <scheme val="minor"/>
    </font>
    <font>
      <sz val="11"/>
      <color rgb="FF00000A"/>
      <name val="Calibri"/>
      <family val="2"/>
      <scheme val="minor"/>
    </font>
    <font>
      <b/>
      <sz val="11"/>
      <color rgb="FF31849B"/>
      <name val="Calibri"/>
      <family val="2"/>
      <scheme val="minor"/>
    </font>
    <font>
      <sz val="11"/>
      <color rgb="FF000000"/>
      <name val="Calibri"/>
      <family val="2"/>
      <scheme val="minor"/>
    </font>
    <font>
      <i/>
      <sz val="11"/>
      <color theme="1"/>
      <name val="Arial"/>
      <family val="2"/>
    </font>
    <font>
      <sz val="8"/>
      <color indexed="8"/>
      <name val="Arial"/>
      <family val="2"/>
    </font>
    <font>
      <sz val="7"/>
      <color indexed="8"/>
      <name val="Arial"/>
      <family val="2"/>
    </font>
    <font>
      <sz val="11"/>
      <color theme="0"/>
      <name val="Calibri"/>
      <family val="2"/>
    </font>
    <font>
      <i/>
      <sz val="11"/>
      <color rgb="FF000000"/>
      <name val="Arial"/>
      <family val="2"/>
    </font>
    <font>
      <b/>
      <vertAlign val="superscript"/>
      <sz val="11"/>
      <color theme="1"/>
      <name val="Arial"/>
      <family val="2"/>
    </font>
    <font>
      <b/>
      <sz val="10"/>
      <color rgb="FF000000"/>
      <name val="Arial"/>
      <family val="2"/>
    </font>
    <font>
      <sz val="9"/>
      <color rgb="FF00000A"/>
      <name val="Calibri"/>
      <family val="2"/>
    </font>
    <font>
      <sz val="10"/>
      <color rgb="FF00000A"/>
      <name val="Calibri"/>
      <family val="2"/>
    </font>
    <font>
      <sz val="10"/>
      <color theme="1"/>
      <name val="Calibri"/>
      <family val="2"/>
    </font>
    <font>
      <sz val="8.1"/>
      <color rgb="FF00000A"/>
      <name val="Calibri"/>
      <family val="2"/>
    </font>
    <font>
      <sz val="9"/>
      <color theme="1"/>
      <name val="Calibri"/>
      <family val="2"/>
    </font>
    <font>
      <sz val="11"/>
      <color rgb="FFFF0000"/>
      <name val="Calibri"/>
      <family val="2"/>
    </font>
    <font>
      <b/>
      <sz val="11"/>
      <name val="Calibri"/>
      <family val="2"/>
    </font>
    <font>
      <u/>
      <sz val="11"/>
      <color theme="10"/>
      <name val="Calibri"/>
      <family val="2"/>
    </font>
    <font>
      <u/>
      <sz val="11"/>
      <color theme="11"/>
      <name val="Calibri"/>
      <family val="2"/>
    </font>
    <font>
      <i/>
      <sz val="11"/>
      <color rgb="FF7F7F7F"/>
      <name val="Calibri"/>
      <family val="2"/>
      <scheme val="minor"/>
    </font>
    <font>
      <sz val="11"/>
      <color rgb="FF000000"/>
      <name val="Arial"/>
      <family val="2"/>
      <charset val="1"/>
    </font>
    <font>
      <b/>
      <sz val="10"/>
      <color rgb="FF000000"/>
      <name val="Arial"/>
      <family val="2"/>
      <charset val="1"/>
    </font>
    <font>
      <sz val="10"/>
      <color rgb="FF000000"/>
      <name val="Arial"/>
      <family val="2"/>
      <charset val="1"/>
    </font>
    <font>
      <sz val="7"/>
      <color rgb="FF000000"/>
      <name val="Arial"/>
      <family val="2"/>
      <charset val="1"/>
    </font>
    <font>
      <b/>
      <sz val="12"/>
      <color rgb="FF000000"/>
      <name val="Arial"/>
      <family val="2"/>
      <charset val="1"/>
    </font>
    <font>
      <sz val="9"/>
      <color rgb="FF000000"/>
      <name val="Arial"/>
      <family val="2"/>
      <charset val="1"/>
    </font>
    <font>
      <b/>
      <sz val="12"/>
      <color rgb="FF000000"/>
      <name val="Calibri-Bold"/>
    </font>
    <font>
      <sz val="12"/>
      <color rgb="FF000000"/>
      <name val="Calibri"/>
      <family val="2"/>
    </font>
    <font>
      <sz val="7"/>
      <color rgb="FF000000"/>
      <name val="Arial"/>
      <family val="2"/>
    </font>
    <font>
      <b/>
      <sz val="12"/>
      <color rgb="FF000000"/>
      <name val="Arial"/>
      <family val="2"/>
    </font>
    <font>
      <b/>
      <sz val="10"/>
      <color rgb="FF00000A"/>
      <name val="Calibri-Bold"/>
    </font>
    <font>
      <b/>
      <sz val="10"/>
      <name val="Calibri-Bold"/>
    </font>
    <font>
      <b/>
      <sz val="10"/>
      <color rgb="FF000000"/>
      <name val="Calibri-Bold"/>
    </font>
    <font>
      <b/>
      <i/>
      <sz val="10"/>
      <color rgb="FF000000"/>
      <name val="Calibri-BoldItalic"/>
    </font>
    <font>
      <i/>
      <sz val="10"/>
      <color rgb="FF000000"/>
      <name val="Calibri-Italic"/>
    </font>
    <font>
      <i/>
      <sz val="9"/>
      <color rgb="FF000000"/>
      <name val="Arial"/>
      <family val="2"/>
    </font>
    <font>
      <sz val="10"/>
      <color rgb="FF000000"/>
      <name val="SymbolMT"/>
    </font>
    <font>
      <sz val="11"/>
      <color rgb="FF000000"/>
      <name val="Times New Roman"/>
      <family val="1"/>
      <charset val="1"/>
    </font>
    <font>
      <sz val="11"/>
      <color rgb="FF000000"/>
      <name val="Calibri"/>
      <family val="2"/>
      <charset val="1"/>
    </font>
    <font>
      <i/>
      <sz val="9"/>
      <color rgb="FF000000"/>
      <name val="Arial"/>
      <family val="2"/>
      <charset val="1"/>
    </font>
    <font>
      <sz val="12"/>
      <color rgb="FF000000"/>
      <name val="Arial"/>
      <family val="2"/>
    </font>
    <font>
      <sz val="9"/>
      <color theme="1"/>
      <name val="Arial"/>
      <family val="2"/>
    </font>
    <font>
      <b/>
      <sz val="9"/>
      <color indexed="8"/>
      <name val="Arial"/>
      <family val="2"/>
    </font>
    <font>
      <sz val="11"/>
      <name val="Times New Roman"/>
      <family val="1"/>
      <charset val="1"/>
    </font>
    <font>
      <b/>
      <sz val="12"/>
      <color rgb="FF0070C0"/>
      <name val="Arial"/>
      <family val="2"/>
    </font>
    <font>
      <sz val="12"/>
      <color rgb="FF0070C0"/>
      <name val="Arial"/>
      <family val="2"/>
    </font>
    <font>
      <b/>
      <sz val="11"/>
      <color rgb="FF0070C0"/>
      <name val="Arial"/>
      <family val="2"/>
    </font>
    <font>
      <b/>
      <sz val="12"/>
      <name val="Times New Roman"/>
      <family val="1"/>
      <charset val="1"/>
    </font>
    <font>
      <b/>
      <sz val="12"/>
      <name val="Times New Roman"/>
      <family val="1"/>
    </font>
    <font>
      <b/>
      <sz val="12"/>
      <color rgb="FF000000"/>
      <name val="Times New Roman"/>
      <family val="1"/>
      <charset val="1"/>
    </font>
    <font>
      <b/>
      <sz val="12"/>
      <name val="Arial"/>
      <family val="2"/>
    </font>
    <font>
      <sz val="11"/>
      <name val="Arial"/>
      <family val="2"/>
      <charset val="1"/>
    </font>
    <font>
      <sz val="10"/>
      <color rgb="FF000000"/>
      <name val="Arial"/>
      <family val="1"/>
      <charset val="1"/>
    </font>
    <font>
      <sz val="10"/>
      <name val="Arial"/>
      <family val="2"/>
      <charset val="128"/>
    </font>
    <font>
      <sz val="10"/>
      <color rgb="FF000000"/>
      <name val="Arial"/>
      <family val="2"/>
      <charset val="128"/>
    </font>
    <font>
      <sz val="9"/>
      <color rgb="FF000000"/>
      <name val="Arial"/>
      <family val="2"/>
      <charset val="128"/>
    </font>
    <font>
      <sz val="9"/>
      <color rgb="FF000000"/>
      <name val="Arial"/>
      <family val="1"/>
      <charset val="1"/>
    </font>
    <font>
      <sz val="9"/>
      <name val="Arial"/>
      <family val="2"/>
      <charset val="128"/>
    </font>
  </fonts>
  <fills count="36">
    <fill>
      <patternFill patternType="none"/>
    </fill>
    <fill>
      <patternFill patternType="gray125"/>
    </fill>
    <fill>
      <patternFill patternType="solid">
        <fgColor rgb="FFDEEBF7"/>
        <bgColor rgb="FFDEEBF7"/>
      </patternFill>
    </fill>
    <fill>
      <patternFill patternType="solid">
        <fgColor rgb="FFFFF2CC"/>
        <bgColor rgb="FFFFF2CC"/>
      </patternFill>
    </fill>
    <fill>
      <patternFill patternType="solid">
        <fgColor rgb="FFFFFFCC"/>
        <bgColor rgb="FFFFFFCC"/>
      </patternFill>
    </fill>
    <fill>
      <patternFill patternType="solid">
        <fgColor theme="8" tint="0.79998168889431442"/>
        <bgColor rgb="FFFFF2CC"/>
      </patternFill>
    </fill>
    <fill>
      <patternFill patternType="solid">
        <fgColor theme="9" tint="0.79998168889431442"/>
        <bgColor indexed="64"/>
      </patternFill>
    </fill>
    <fill>
      <patternFill patternType="solid">
        <fgColor theme="3" tint="0.59999389629810485"/>
        <bgColor indexed="64"/>
      </patternFill>
    </fill>
    <fill>
      <patternFill patternType="solid">
        <fgColor theme="3" tint="0.59999389629810485"/>
        <bgColor rgb="FFFFF2CC"/>
      </patternFill>
    </fill>
    <fill>
      <patternFill patternType="solid">
        <fgColor rgb="FF92D050"/>
        <bgColor rgb="FFDEEBF7"/>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92CDDC"/>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B6DDE8"/>
        <bgColor indexed="64"/>
      </patternFill>
    </fill>
    <fill>
      <patternFill patternType="solid">
        <fgColor rgb="FFDAEEF3"/>
        <bgColor indexed="64"/>
      </patternFill>
    </fill>
    <fill>
      <patternFill patternType="solid">
        <fgColor rgb="FFFFFF00"/>
        <bgColor indexed="64"/>
      </patternFill>
    </fill>
    <fill>
      <patternFill patternType="solid">
        <fgColor theme="0"/>
        <bgColor rgb="FF99CCFF"/>
      </patternFill>
    </fill>
    <fill>
      <patternFill patternType="solid">
        <fgColor rgb="FFFFFF00"/>
        <bgColor rgb="FFFFF2CC"/>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rgb="FFFFFFCC"/>
      </patternFill>
    </fill>
    <fill>
      <patternFill patternType="solid">
        <fgColor theme="6" tint="0.79998168889431442"/>
        <bgColor rgb="FFE6FF00"/>
      </patternFill>
    </fill>
    <fill>
      <patternFill patternType="solid">
        <fgColor theme="4" tint="0.59999389629810485"/>
        <bgColor indexed="64"/>
      </patternFill>
    </fill>
    <fill>
      <patternFill patternType="solid">
        <fgColor theme="4" tint="0.39997558519241921"/>
        <bgColor indexed="64"/>
      </patternFill>
    </fill>
    <fill>
      <patternFill patternType="solid">
        <fgColor rgb="FF92D050"/>
        <bgColor rgb="FF92CDDC"/>
      </patternFill>
    </fill>
    <fill>
      <patternFill patternType="solid">
        <fgColor rgb="FFB7DEE8"/>
        <bgColor rgb="FFB6DDE8"/>
      </patternFill>
    </fill>
    <fill>
      <patternFill patternType="solid">
        <fgColor rgb="FFDBEEF4"/>
        <bgColor rgb="FFDAEEF3"/>
      </patternFill>
    </fill>
    <fill>
      <patternFill patternType="solid">
        <fgColor rgb="FF8EB4E3"/>
        <bgColor indexed="64"/>
      </patternFill>
    </fill>
    <fill>
      <patternFill patternType="solid">
        <fgColor rgb="FFFFFF00"/>
        <bgColor rgb="FFFFFFCC"/>
      </patternFill>
    </fill>
    <fill>
      <patternFill patternType="solid">
        <fgColor rgb="FFC6D9F1"/>
        <bgColor rgb="FFB7DEE8"/>
      </patternFill>
    </fill>
    <fill>
      <patternFill patternType="solid">
        <fgColor rgb="FFFFFFFF"/>
        <bgColor rgb="FFF2F2F2"/>
      </patternFill>
    </fill>
  </fills>
  <borders count="10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medium">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rgb="FF000000"/>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rgb="FF000000"/>
      </top>
      <bottom style="thin">
        <color rgb="FF000000"/>
      </bottom>
      <diagonal/>
    </border>
    <border>
      <left/>
      <right style="thin">
        <color indexed="64"/>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medium">
        <color indexed="64"/>
      </top>
      <bottom style="thin">
        <color rgb="FF000000"/>
      </bottom>
      <diagonal/>
    </border>
    <border>
      <left style="medium">
        <color rgb="FF000000"/>
      </left>
      <right/>
      <top style="medium">
        <color rgb="FF000000"/>
      </top>
      <bottom/>
      <diagonal/>
    </border>
    <border>
      <left style="thin">
        <color rgb="FF000000"/>
      </left>
      <right/>
      <top style="thin">
        <color rgb="FF000000"/>
      </top>
      <bottom style="thin">
        <color rgb="FF000000"/>
      </bottom>
      <diagonal/>
    </border>
    <border>
      <left style="medium">
        <color auto="1"/>
      </left>
      <right style="medium">
        <color auto="1"/>
      </right>
      <top/>
      <bottom style="thin">
        <color auto="1"/>
      </bottom>
      <diagonal/>
    </border>
    <border>
      <left style="thin">
        <color auto="1"/>
      </left>
      <right style="medium">
        <color auto="1"/>
      </right>
      <top/>
      <bottom/>
      <diagonal/>
    </border>
    <border>
      <left style="medium">
        <color rgb="FF000000"/>
      </left>
      <right style="medium">
        <color rgb="FF000000"/>
      </right>
      <top style="medium">
        <color rgb="FF000000"/>
      </top>
      <bottom style="medium">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diagonal/>
    </border>
    <border>
      <left/>
      <right style="thick">
        <color rgb="FF000000"/>
      </right>
      <top/>
      <bottom/>
      <diagonal/>
    </border>
    <border>
      <left style="thick">
        <color rgb="FF000000"/>
      </left>
      <right/>
      <top/>
      <bottom style="medium">
        <color rgb="FF000000"/>
      </bottom>
      <diagonal/>
    </border>
    <border>
      <left/>
      <right/>
      <top/>
      <bottom style="medium">
        <color rgb="FF000000"/>
      </bottom>
      <diagonal/>
    </border>
    <border>
      <left/>
      <right style="thick">
        <color rgb="FF000000"/>
      </right>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ck">
        <color rgb="FF000000"/>
      </left>
      <right/>
      <top style="medium">
        <color rgb="FF000000"/>
      </top>
      <bottom/>
      <diagonal/>
    </border>
    <border>
      <left/>
      <right/>
      <top style="medium">
        <color rgb="FF000000"/>
      </top>
      <bottom/>
      <diagonal/>
    </border>
    <border>
      <left/>
      <right style="thick">
        <color rgb="FF000000"/>
      </right>
      <top style="medium">
        <color rgb="FF000000"/>
      </top>
      <bottom/>
      <diagonal/>
    </border>
    <border>
      <left/>
      <right style="hair">
        <color auto="1"/>
      </right>
      <top style="thin">
        <color auto="1"/>
      </top>
      <bottom style="thin">
        <color auto="1"/>
      </bottom>
      <diagonal/>
    </border>
    <border>
      <left style="thin">
        <color auto="1"/>
      </left>
      <right style="hair">
        <color auto="1"/>
      </right>
      <top style="thin">
        <color auto="1"/>
      </top>
      <bottom style="thin">
        <color auto="1"/>
      </bottom>
      <diagonal/>
    </border>
  </borders>
  <cellStyleXfs count="86">
    <xf numFmtId="0" fontId="0" fillId="0" borderId="0"/>
    <xf numFmtId="164" fontId="15" fillId="0" borderId="0"/>
    <xf numFmtId="0" fontId="16" fillId="0" borderId="0">
      <alignment horizontal="center"/>
    </xf>
    <xf numFmtId="0" fontId="16" fillId="0" borderId="0">
      <alignment horizontal="center" textRotation="90"/>
    </xf>
    <xf numFmtId="0" fontId="17" fillId="0" borderId="0"/>
    <xf numFmtId="165" fontId="17" fillId="0" borderId="0"/>
    <xf numFmtId="0" fontId="26" fillId="0" borderId="0"/>
    <xf numFmtId="0" fontId="10" fillId="0" borderId="0"/>
    <xf numFmtId="0" fontId="7" fillId="0" borderId="0"/>
    <xf numFmtId="0" fontId="6" fillId="0" borderId="0"/>
    <xf numFmtId="0" fontId="6" fillId="0" borderId="0"/>
    <xf numFmtId="0" fontId="5" fillId="0" borderId="0"/>
    <xf numFmtId="0" fontId="4"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applyNumberFormat="0" applyFill="0" applyBorder="0" applyAlignment="0" applyProtection="0"/>
    <xf numFmtId="43" fontId="15" fillId="0" borderId="0" applyFont="0" applyFill="0" applyBorder="0" applyAlignment="0" applyProtection="0"/>
    <xf numFmtId="0" fontId="104" fillId="0" borderId="0"/>
  </cellStyleXfs>
  <cellXfs count="1032">
    <xf numFmtId="0" fontId="0" fillId="0" borderId="0" xfId="0"/>
    <xf numFmtId="164" fontId="0" fillId="0" borderId="0" xfId="1" applyFont="1" applyAlignment="1">
      <alignment horizontal="center"/>
    </xf>
    <xf numFmtId="0" fontId="0" fillId="0" borderId="0" xfId="0" applyFill="1" applyBorder="1"/>
    <xf numFmtId="0" fontId="0" fillId="0" borderId="0" xfId="0" applyBorder="1"/>
    <xf numFmtId="0" fontId="0" fillId="0" borderId="0" xfId="0" applyFill="1"/>
    <xf numFmtId="0" fontId="0" fillId="0" borderId="0" xfId="0" applyAlignment="1">
      <alignment wrapText="1"/>
    </xf>
    <xf numFmtId="0" fontId="25" fillId="0" borderId="13" xfId="0" applyFont="1" applyBorder="1" applyAlignment="1">
      <alignment horizontal="center" vertical="center"/>
    </xf>
    <xf numFmtId="164" fontId="0" fillId="0" borderId="4" xfId="1" applyFont="1" applyBorder="1" applyAlignment="1">
      <alignment horizontal="center"/>
    </xf>
    <xf numFmtId="164" fontId="0" fillId="0" borderId="22" xfId="1" applyFont="1" applyBorder="1" applyAlignment="1">
      <alignment horizontal="center"/>
    </xf>
    <xf numFmtId="0" fontId="0" fillId="0" borderId="2" xfId="0" applyBorder="1"/>
    <xf numFmtId="0" fontId="0" fillId="0" borderId="28" xfId="0" applyBorder="1"/>
    <xf numFmtId="0" fontId="0" fillId="0" borderId="10" xfId="0" applyBorder="1"/>
    <xf numFmtId="0" fontId="0" fillId="0" borderId="0" xfId="0" applyAlignment="1">
      <alignment vertical="center" wrapText="1"/>
    </xf>
    <xf numFmtId="0" fontId="0" fillId="0" borderId="0" xfId="0" applyAlignment="1">
      <alignment vertical="center"/>
    </xf>
    <xf numFmtId="0" fontId="30" fillId="0" borderId="0" xfId="0" applyFont="1" applyAlignment="1">
      <alignment vertical="center" wrapText="1"/>
    </xf>
    <xf numFmtId="0" fontId="0" fillId="11" borderId="2" xfId="0" applyFill="1" applyBorder="1" applyAlignment="1">
      <alignment vertical="center"/>
    </xf>
    <xf numFmtId="0" fontId="0" fillId="11" borderId="25" xfId="0" applyFill="1" applyBorder="1" applyAlignment="1">
      <alignment vertical="center"/>
    </xf>
    <xf numFmtId="0" fontId="35" fillId="0" borderId="13" xfId="0" applyFont="1" applyBorder="1"/>
    <xf numFmtId="0" fontId="35" fillId="0" borderId="32" xfId="0" applyFont="1" applyBorder="1"/>
    <xf numFmtId="0" fontId="35" fillId="0" borderId="2" xfId="0" applyFont="1" applyBorder="1"/>
    <xf numFmtId="0" fontId="0" fillId="14" borderId="24" xfId="0" applyFill="1" applyBorder="1" applyAlignment="1">
      <alignment vertical="center"/>
    </xf>
    <xf numFmtId="0" fontId="0" fillId="14" borderId="2" xfId="0" applyFill="1" applyBorder="1" applyAlignment="1">
      <alignment vertical="center"/>
    </xf>
    <xf numFmtId="0" fontId="35" fillId="0" borderId="20" xfId="0" applyFont="1" applyBorder="1"/>
    <xf numFmtId="0" fontId="35" fillId="0" borderId="48" xfId="0" applyFont="1" applyBorder="1"/>
    <xf numFmtId="0" fontId="37" fillId="0" borderId="0" xfId="0" applyFont="1" applyAlignment="1">
      <alignment horizontal="justify"/>
    </xf>
    <xf numFmtId="0" fontId="0" fillId="15" borderId="2" xfId="0" applyFill="1" applyBorder="1" applyAlignment="1">
      <alignment vertical="center"/>
    </xf>
    <xf numFmtId="0" fontId="0" fillId="15" borderId="23" xfId="0" applyFill="1" applyBorder="1" applyAlignment="1">
      <alignment vertical="center"/>
    </xf>
    <xf numFmtId="0" fontId="0" fillId="15" borderId="24" xfId="0" applyFill="1" applyBorder="1" applyAlignment="1">
      <alignment vertical="center"/>
    </xf>
    <xf numFmtId="0" fontId="0" fillId="15" borderId="25" xfId="0" applyFill="1" applyBorder="1" applyAlignment="1">
      <alignment vertical="center"/>
    </xf>
    <xf numFmtId="0" fontId="0" fillId="0" borderId="19" xfId="0" applyBorder="1"/>
    <xf numFmtId="0" fontId="0" fillId="0" borderId="18" xfId="0" applyBorder="1"/>
    <xf numFmtId="0" fontId="0" fillId="15" borderId="18" xfId="0" applyFill="1" applyBorder="1" applyAlignment="1">
      <alignment horizontal="center" wrapText="1"/>
    </xf>
    <xf numFmtId="0" fontId="0" fillId="0" borderId="17" xfId="0" applyBorder="1"/>
    <xf numFmtId="0" fontId="33" fillId="17" borderId="10" xfId="0" applyFont="1" applyFill="1" applyBorder="1" applyAlignment="1">
      <alignment horizontal="center" vertical="top" wrapText="1"/>
    </xf>
    <xf numFmtId="0" fontId="0" fillId="0" borderId="16" xfId="0" applyBorder="1"/>
    <xf numFmtId="0" fontId="0" fillId="15" borderId="2" xfId="0" applyFill="1" applyBorder="1" applyAlignment="1">
      <alignment horizontal="center"/>
    </xf>
    <xf numFmtId="0" fontId="0" fillId="0" borderId="15" xfId="0" applyBorder="1"/>
    <xf numFmtId="0" fontId="33" fillId="17" borderId="12" xfId="0" applyFont="1" applyFill="1" applyBorder="1" applyAlignment="1">
      <alignment horizontal="center" vertical="top" wrapText="1"/>
    </xf>
    <xf numFmtId="0" fontId="36" fillId="17" borderId="45" xfId="0" applyFont="1" applyFill="1" applyBorder="1" applyAlignment="1">
      <alignment vertical="top" wrapText="1"/>
    </xf>
    <xf numFmtId="0" fontId="33" fillId="17" borderId="45" xfId="0" applyFont="1" applyFill="1" applyBorder="1" applyAlignment="1">
      <alignment horizontal="center" vertical="top" wrapText="1"/>
    </xf>
    <xf numFmtId="0" fontId="33" fillId="17" borderId="44" xfId="0" applyFont="1" applyFill="1" applyBorder="1" applyAlignment="1">
      <alignment vertical="top" wrapText="1"/>
    </xf>
    <xf numFmtId="0" fontId="33" fillId="17" borderId="45" xfId="0" applyFont="1" applyFill="1" applyBorder="1" applyAlignment="1">
      <alignment vertical="top" wrapText="1"/>
    </xf>
    <xf numFmtId="0" fontId="36" fillId="17" borderId="45" xfId="0" applyFont="1" applyFill="1" applyBorder="1" applyAlignment="1">
      <alignment horizontal="center" vertical="top" wrapText="1"/>
    </xf>
    <xf numFmtId="0" fontId="36" fillId="17" borderId="47" xfId="0" applyFont="1" applyFill="1" applyBorder="1" applyAlignment="1">
      <alignment horizontal="center" vertical="top" wrapText="1"/>
    </xf>
    <xf numFmtId="0" fontId="0" fillId="18" borderId="15" xfId="0" applyFill="1" applyBorder="1" applyAlignment="1">
      <alignment horizontal="center"/>
    </xf>
    <xf numFmtId="0" fontId="0" fillId="14" borderId="2" xfId="0" applyFill="1" applyBorder="1" applyAlignment="1">
      <alignment horizontal="center"/>
    </xf>
    <xf numFmtId="0" fontId="0" fillId="18" borderId="2" xfId="0" applyFill="1" applyBorder="1" applyAlignment="1">
      <alignment vertical="center"/>
    </xf>
    <xf numFmtId="0" fontId="33" fillId="17" borderId="10" xfId="0" applyFont="1" applyFill="1" applyBorder="1" applyAlignment="1">
      <alignment horizontal="center" vertical="center" wrapText="1"/>
    </xf>
    <xf numFmtId="0" fontId="0" fillId="18" borderId="25" xfId="0" applyFill="1" applyBorder="1" applyAlignment="1">
      <alignment vertical="center"/>
    </xf>
    <xf numFmtId="0" fontId="33" fillId="17" borderId="12" xfId="0" applyFont="1" applyFill="1" applyBorder="1" applyAlignment="1">
      <alignment horizontal="center" vertical="center" wrapText="1"/>
    </xf>
    <xf numFmtId="0" fontId="0" fillId="18" borderId="23" xfId="0" applyFill="1" applyBorder="1" applyAlignment="1">
      <alignment vertical="center"/>
    </xf>
    <xf numFmtId="0" fontId="36" fillId="17" borderId="47" xfId="0" applyFont="1" applyFill="1" applyBorder="1" applyAlignment="1">
      <alignment horizontal="center" vertical="center" wrapText="1"/>
    </xf>
    <xf numFmtId="0" fontId="0" fillId="18" borderId="24" xfId="0" applyFill="1" applyBorder="1" applyAlignment="1">
      <alignment vertical="center"/>
    </xf>
    <xf numFmtId="0" fontId="32" fillId="18" borderId="12" xfId="0" applyFont="1" applyFill="1" applyBorder="1"/>
    <xf numFmtId="0" fontId="32" fillId="18" borderId="25" xfId="0" applyFont="1" applyFill="1" applyBorder="1"/>
    <xf numFmtId="0" fontId="35" fillId="0" borderId="5" xfId="0" applyFont="1" applyBorder="1"/>
    <xf numFmtId="0" fontId="23" fillId="0" borderId="8" xfId="0" applyFont="1" applyBorder="1" applyAlignment="1">
      <alignment horizontal="center"/>
    </xf>
    <xf numFmtId="0" fontId="23" fillId="0" borderId="47" xfId="0" applyFont="1" applyBorder="1" applyAlignment="1">
      <alignment horizontal="center"/>
    </xf>
    <xf numFmtId="0" fontId="23" fillId="0" borderId="47" xfId="0" applyFont="1" applyBorder="1" applyAlignment="1">
      <alignment horizontal="center" wrapText="1"/>
    </xf>
    <xf numFmtId="0" fontId="23" fillId="0" borderId="7" xfId="0" applyFont="1" applyBorder="1" applyAlignment="1">
      <alignment horizontal="center"/>
    </xf>
    <xf numFmtId="0" fontId="41" fillId="17" borderId="42" xfId="0" applyFont="1" applyFill="1" applyBorder="1" applyAlignment="1">
      <alignment horizontal="center" vertical="top" wrapText="1"/>
    </xf>
    <xf numFmtId="164" fontId="21" fillId="19" borderId="0" xfId="1" applyFont="1" applyFill="1" applyBorder="1" applyAlignment="1">
      <alignment vertical="center"/>
    </xf>
    <xf numFmtId="0" fontId="0" fillId="12" borderId="0" xfId="0" applyFill="1"/>
    <xf numFmtId="0" fontId="36" fillId="17" borderId="2" xfId="0" applyFont="1" applyFill="1" applyBorder="1" applyAlignment="1">
      <alignment vertical="top" wrapText="1"/>
    </xf>
    <xf numFmtId="164" fontId="21" fillId="12" borderId="0" xfId="1" applyFont="1" applyFill="1" applyBorder="1" applyAlignment="1">
      <alignment horizontal="center" vertical="center"/>
    </xf>
    <xf numFmtId="164" fontId="20" fillId="9" borderId="0" xfId="1" applyFont="1" applyFill="1" applyBorder="1" applyAlignment="1">
      <alignment textRotation="90" wrapText="1"/>
    </xf>
    <xf numFmtId="164" fontId="20" fillId="9" borderId="30" xfId="1" applyFont="1" applyFill="1" applyBorder="1" applyAlignment="1">
      <alignment textRotation="90" wrapText="1"/>
    </xf>
    <xf numFmtId="0" fontId="37" fillId="18" borderId="53" xfId="0" applyFont="1" applyFill="1" applyBorder="1" applyAlignment="1">
      <alignment horizontal="center"/>
    </xf>
    <xf numFmtId="0" fontId="37" fillId="15" borderId="15" xfId="0" applyFont="1" applyFill="1" applyBorder="1" applyAlignment="1">
      <alignment horizontal="center"/>
    </xf>
    <xf numFmtId="0" fontId="37" fillId="14" borderId="15" xfId="0" applyFont="1" applyFill="1" applyBorder="1" applyAlignment="1">
      <alignment horizontal="center"/>
    </xf>
    <xf numFmtId="0" fontId="37" fillId="11" borderId="17" xfId="0" applyFont="1" applyFill="1" applyBorder="1" applyAlignment="1">
      <alignment horizontal="center"/>
    </xf>
    <xf numFmtId="0" fontId="37" fillId="0" borderId="18" xfId="0" applyFont="1" applyBorder="1"/>
    <xf numFmtId="0" fontId="24" fillId="0" borderId="2" xfId="0" applyFont="1" applyBorder="1" applyAlignment="1">
      <alignment wrapText="1"/>
    </xf>
    <xf numFmtId="0" fontId="0" fillId="12" borderId="0" xfId="0" applyFill="1" applyBorder="1" applyAlignment="1">
      <alignment wrapText="1"/>
    </xf>
    <xf numFmtId="0" fontId="0" fillId="12" borderId="0" xfId="0" applyFill="1" applyBorder="1"/>
    <xf numFmtId="164" fontId="43" fillId="2" borderId="57" xfId="1" applyFont="1" applyFill="1" applyBorder="1" applyAlignment="1">
      <alignment horizontal="center" vertical="center" textRotation="90"/>
    </xf>
    <xf numFmtId="164" fontId="43" fillId="2" borderId="58" xfId="1" applyFont="1" applyFill="1" applyBorder="1" applyAlignment="1">
      <alignment horizontal="center" vertical="center" textRotation="90" wrapText="1"/>
    </xf>
    <xf numFmtId="164" fontId="43" fillId="2" borderId="59" xfId="1" applyFont="1" applyFill="1" applyBorder="1" applyAlignment="1">
      <alignment horizontal="center" vertical="center" textRotation="90" wrapText="1"/>
    </xf>
    <xf numFmtId="0" fontId="0" fillId="0" borderId="54" xfId="0" applyBorder="1"/>
    <xf numFmtId="0" fontId="0" fillId="0" borderId="55" xfId="0" applyBorder="1"/>
    <xf numFmtId="0" fontId="0" fillId="12" borderId="2" xfId="0" applyFill="1" applyBorder="1" applyAlignment="1">
      <alignment horizontal="center" vertical="center" wrapText="1"/>
    </xf>
    <xf numFmtId="0" fontId="0" fillId="12" borderId="2" xfId="0" applyFill="1" applyBorder="1" applyAlignment="1">
      <alignment horizontal="center" vertical="center"/>
    </xf>
    <xf numFmtId="0" fontId="20" fillId="0" borderId="0" xfId="0" applyFont="1" applyBorder="1" applyAlignment="1">
      <alignment vertical="top" wrapText="1"/>
    </xf>
    <xf numFmtId="0" fontId="46" fillId="0" borderId="0" xfId="0" applyFont="1" applyAlignment="1">
      <alignment horizontal="center" vertical="center"/>
    </xf>
    <xf numFmtId="0" fontId="47" fillId="0" borderId="42" xfId="0" applyFont="1" applyBorder="1"/>
    <xf numFmtId="0" fontId="43" fillId="0" borderId="46" xfId="0" applyFont="1" applyBorder="1"/>
    <xf numFmtId="0" fontId="36" fillId="17" borderId="45" xfId="0" applyFont="1" applyFill="1" applyBorder="1" applyAlignment="1">
      <alignment horizontal="right" vertical="top" wrapText="1"/>
    </xf>
    <xf numFmtId="0" fontId="33" fillId="17" borderId="45" xfId="0" applyFont="1" applyFill="1" applyBorder="1" applyAlignment="1">
      <alignment horizontal="center" vertical="top" wrapText="1"/>
    </xf>
    <xf numFmtId="0" fontId="0" fillId="0" borderId="0" xfId="0"/>
    <xf numFmtId="0" fontId="0" fillId="0" borderId="36" xfId="0" applyBorder="1"/>
    <xf numFmtId="0" fontId="0" fillId="0" borderId="8" xfId="0" applyBorder="1"/>
    <xf numFmtId="0" fontId="0" fillId="0" borderId="0" xfId="0"/>
    <xf numFmtId="0" fontId="0" fillId="0" borderId="12" xfId="0" applyBorder="1"/>
    <xf numFmtId="0" fontId="0" fillId="0" borderId="0" xfId="0"/>
    <xf numFmtId="0" fontId="0" fillId="0" borderId="7" xfId="0" applyBorder="1"/>
    <xf numFmtId="0" fontId="0" fillId="0" borderId="11" xfId="0" applyBorder="1"/>
    <xf numFmtId="0" fontId="0" fillId="0" borderId="9" xfId="0" applyBorder="1"/>
    <xf numFmtId="0" fontId="46" fillId="0" borderId="0" xfId="0" applyFont="1" applyBorder="1" applyAlignment="1">
      <alignment horizontal="center"/>
    </xf>
    <xf numFmtId="0" fontId="0" fillId="0" borderId="0" xfId="0" applyBorder="1" applyAlignment="1">
      <alignment horizontal="center"/>
    </xf>
    <xf numFmtId="0" fontId="48" fillId="0" borderId="11" xfId="0" applyFont="1" applyBorder="1" applyAlignment="1">
      <alignment horizontal="center"/>
    </xf>
    <xf numFmtId="0" fontId="48" fillId="0" borderId="12" xfId="0" applyFont="1" applyBorder="1" applyAlignment="1">
      <alignment horizontal="center"/>
    </xf>
    <xf numFmtId="0" fontId="48" fillId="0" borderId="0" xfId="0" applyFont="1" applyBorder="1" applyAlignment="1">
      <alignment horizontal="center"/>
    </xf>
    <xf numFmtId="0" fontId="0" fillId="0" borderId="53" xfId="0" applyBorder="1"/>
    <xf numFmtId="0" fontId="0" fillId="0" borderId="55" xfId="0" applyBorder="1" applyAlignment="1">
      <alignment horizontal="center"/>
    </xf>
    <xf numFmtId="0" fontId="0" fillId="0" borderId="73" xfId="0" applyBorder="1"/>
    <xf numFmtId="0" fontId="0" fillId="0" borderId="23" xfId="0" applyBorder="1"/>
    <xf numFmtId="0" fontId="0" fillId="0" borderId="74" xfId="0" applyBorder="1"/>
    <xf numFmtId="0" fontId="0" fillId="0" borderId="53" xfId="0" applyBorder="1" applyAlignment="1"/>
    <xf numFmtId="0" fontId="0" fillId="0" borderId="15" xfId="0" applyBorder="1" applyAlignment="1"/>
    <xf numFmtId="0" fontId="0" fillId="0" borderId="17" xfId="0" applyBorder="1" applyAlignment="1"/>
    <xf numFmtId="0" fontId="51" fillId="12" borderId="2" xfId="0" applyFont="1" applyFill="1" applyBorder="1" applyAlignment="1">
      <alignment textRotation="45" wrapText="1"/>
    </xf>
    <xf numFmtId="0" fontId="49" fillId="0" borderId="2" xfId="0" applyFont="1" applyBorder="1" applyAlignment="1">
      <alignment horizontal="center"/>
    </xf>
    <xf numFmtId="0" fontId="49" fillId="0" borderId="0" xfId="0" applyFont="1"/>
    <xf numFmtId="0" fontId="50" fillId="6" borderId="2" xfId="0" applyFont="1" applyFill="1" applyBorder="1" applyAlignment="1">
      <alignment horizontal="center" wrapText="1"/>
    </xf>
    <xf numFmtId="0" fontId="50" fillId="6" borderId="2" xfId="0" applyFont="1" applyFill="1" applyBorder="1" applyAlignment="1">
      <alignment horizontal="center"/>
    </xf>
    <xf numFmtId="0" fontId="52" fillId="12" borderId="2" xfId="0" applyFont="1" applyFill="1" applyBorder="1" applyAlignment="1">
      <alignment horizontal="center" vertical="top" wrapText="1"/>
    </xf>
    <xf numFmtId="0" fontId="52" fillId="12" borderId="2" xfId="0" applyFont="1" applyFill="1" applyBorder="1" applyAlignment="1">
      <alignment horizontal="center" vertical="center" wrapText="1"/>
    </xf>
    <xf numFmtId="0" fontId="52" fillId="12" borderId="5" xfId="0" applyFont="1" applyFill="1" applyBorder="1" applyAlignment="1">
      <alignment horizontal="center" vertical="top" wrapText="1"/>
    </xf>
    <xf numFmtId="0" fontId="49" fillId="0" borderId="2" xfId="0" applyFont="1" applyBorder="1" applyAlignment="1">
      <alignment horizontal="center" vertical="center"/>
    </xf>
    <xf numFmtId="164" fontId="49" fillId="0" borderId="2" xfId="1" applyFont="1" applyBorder="1" applyAlignment="1">
      <alignment horizontal="center" vertical="center"/>
    </xf>
    <xf numFmtId="164" fontId="54" fillId="0" borderId="2" xfId="1" applyFont="1" applyBorder="1" applyAlignment="1">
      <alignment horizontal="center" vertical="center"/>
    </xf>
    <xf numFmtId="164" fontId="55" fillId="0" borderId="2" xfId="1" applyFont="1" applyBorder="1" applyAlignment="1">
      <alignment horizontal="center" vertical="center"/>
    </xf>
    <xf numFmtId="0" fontId="49" fillId="0" borderId="0" xfId="0" applyFont="1" applyFill="1" applyBorder="1"/>
    <xf numFmtId="0" fontId="49" fillId="0" borderId="2" xfId="0" applyFont="1" applyFill="1" applyBorder="1" applyAlignment="1">
      <alignment horizontal="center" vertical="center"/>
    </xf>
    <xf numFmtId="164" fontId="56" fillId="0" borderId="0" xfId="1" applyFont="1" applyFill="1" applyBorder="1" applyAlignment="1">
      <alignment horizontal="center" vertical="center"/>
    </xf>
    <xf numFmtId="0" fontId="49" fillId="0" borderId="2" xfId="0" applyFont="1" applyBorder="1"/>
    <xf numFmtId="164" fontId="57" fillId="0" borderId="0" xfId="1" applyFont="1" applyFill="1" applyBorder="1" applyAlignment="1">
      <alignment horizontal="center" vertical="center"/>
    </xf>
    <xf numFmtId="164" fontId="58" fillId="0" borderId="2" xfId="1" applyFont="1" applyBorder="1" applyAlignment="1">
      <alignment horizontal="center" vertical="center"/>
    </xf>
    <xf numFmtId="0" fontId="49" fillId="0" borderId="0" xfId="0" applyFont="1" applyAlignment="1">
      <alignment wrapText="1"/>
    </xf>
    <xf numFmtId="0" fontId="49" fillId="0" borderId="0" xfId="0" applyFont="1" applyAlignment="1">
      <alignment horizontal="center"/>
    </xf>
    <xf numFmtId="164" fontId="49" fillId="22" borderId="5" xfId="0" applyNumberFormat="1" applyFont="1" applyFill="1" applyBorder="1" applyAlignment="1">
      <alignment horizontal="center"/>
    </xf>
    <xf numFmtId="164" fontId="49" fillId="22" borderId="2" xfId="1" applyFont="1" applyFill="1" applyBorder="1" applyAlignment="1">
      <alignment horizontal="center" vertical="center"/>
    </xf>
    <xf numFmtId="0" fontId="50" fillId="14" borderId="2" xfId="0" applyFont="1" applyFill="1" applyBorder="1" applyAlignment="1">
      <alignment horizontal="center" vertical="center" textRotation="90"/>
    </xf>
    <xf numFmtId="0" fontId="50" fillId="23" borderId="2" xfId="0" applyFont="1" applyFill="1" applyBorder="1" applyAlignment="1">
      <alignment horizontal="center" vertical="center" textRotation="90"/>
    </xf>
    <xf numFmtId="164" fontId="49" fillId="23" borderId="5" xfId="1" applyFont="1" applyFill="1" applyBorder="1" applyAlignment="1">
      <alignment horizontal="center"/>
    </xf>
    <xf numFmtId="164" fontId="49" fillId="23" borderId="2" xfId="0" applyNumberFormat="1" applyFont="1" applyFill="1" applyBorder="1" applyAlignment="1">
      <alignment horizontal="center"/>
    </xf>
    <xf numFmtId="0" fontId="59" fillId="0" borderId="2" xfId="0" applyFont="1" applyFill="1" applyBorder="1" applyAlignment="1">
      <alignment horizontal="center" vertical="center" wrapText="1"/>
    </xf>
    <xf numFmtId="0" fontId="0" fillId="22" borderId="46" xfId="0" applyFill="1" applyBorder="1"/>
    <xf numFmtId="0" fontId="0" fillId="22" borderId="40" xfId="0" applyFill="1" applyBorder="1"/>
    <xf numFmtId="0" fontId="23" fillId="18" borderId="42" xfId="0" applyFont="1" applyFill="1" applyBorder="1"/>
    <xf numFmtId="0" fontId="49" fillId="0" borderId="0" xfId="0" applyFont="1" applyAlignment="1">
      <alignment vertical="center" wrapText="1"/>
    </xf>
    <xf numFmtId="164" fontId="60" fillId="3" borderId="1" xfId="1" applyFont="1" applyFill="1" applyBorder="1" applyAlignment="1">
      <alignment horizontal="left" textRotation="90" wrapText="1"/>
    </xf>
    <xf numFmtId="0" fontId="63" fillId="0" borderId="0" xfId="0" applyFont="1"/>
    <xf numFmtId="0" fontId="49" fillId="0" borderId="0" xfId="0" applyFont="1" applyBorder="1" applyAlignment="1"/>
    <xf numFmtId="0" fontId="62" fillId="0" borderId="0" xfId="0" applyFont="1"/>
    <xf numFmtId="0" fontId="61" fillId="0" borderId="0" xfId="0" applyFont="1" applyAlignment="1">
      <alignment horizontal="center"/>
    </xf>
    <xf numFmtId="0" fontId="63" fillId="0" borderId="0" xfId="0" applyFont="1" applyBorder="1"/>
    <xf numFmtId="0" fontId="40" fillId="0" borderId="0" xfId="0" applyFont="1"/>
    <xf numFmtId="0" fontId="23" fillId="24" borderId="42" xfId="0" applyFont="1" applyFill="1" applyBorder="1"/>
    <xf numFmtId="0" fontId="0" fillId="0" borderId="0" xfId="0"/>
    <xf numFmtId="0" fontId="0" fillId="0" borderId="12" xfId="0" applyBorder="1"/>
    <xf numFmtId="0" fontId="32" fillId="17" borderId="47" xfId="0" applyFont="1" applyFill="1" applyBorder="1" applyAlignment="1">
      <alignment horizontal="center" vertical="top" wrapText="1"/>
    </xf>
    <xf numFmtId="0" fontId="32" fillId="17" borderId="45" xfId="0" applyFont="1" applyFill="1" applyBorder="1" applyAlignment="1">
      <alignment horizontal="center" vertical="top" wrapText="1"/>
    </xf>
    <xf numFmtId="0" fontId="32" fillId="17" borderId="44" xfId="0" applyFont="1" applyFill="1" applyBorder="1" applyAlignment="1">
      <alignment horizontal="center" vertical="top" wrapText="1"/>
    </xf>
    <xf numFmtId="0" fontId="32" fillId="18" borderId="0" xfId="0" applyFont="1" applyFill="1" applyBorder="1"/>
    <xf numFmtId="0" fontId="32" fillId="13" borderId="42" xfId="0" applyFont="1" applyFill="1" applyBorder="1" applyAlignment="1">
      <alignment horizontal="justify" vertical="top" wrapText="1"/>
    </xf>
    <xf numFmtId="0" fontId="14" fillId="0" borderId="45" xfId="0" applyFont="1" applyBorder="1" applyAlignment="1">
      <alignment horizontal="justify" vertical="top" wrapText="1"/>
    </xf>
    <xf numFmtId="0" fontId="14" fillId="0" borderId="44" xfId="0" applyFont="1" applyBorder="1" applyAlignment="1">
      <alignment horizontal="justify" vertical="top" wrapText="1"/>
    </xf>
    <xf numFmtId="0" fontId="65" fillId="0" borderId="48" xfId="0" applyFont="1" applyBorder="1" applyAlignment="1">
      <alignment vertical="top" wrapText="1"/>
    </xf>
    <xf numFmtId="0" fontId="0" fillId="18" borderId="2" xfId="0" applyFont="1" applyFill="1" applyBorder="1" applyAlignment="1">
      <alignment vertical="center"/>
    </xf>
    <xf numFmtId="0" fontId="65" fillId="0" borderId="23" xfId="0" applyFont="1" applyBorder="1" applyAlignment="1">
      <alignment horizontal="left" vertical="top" wrapText="1"/>
    </xf>
    <xf numFmtId="0" fontId="0" fillId="18" borderId="23" xfId="0" applyFont="1" applyFill="1" applyBorder="1" applyAlignment="1">
      <alignment vertical="center"/>
    </xf>
    <xf numFmtId="0" fontId="14" fillId="0" borderId="23" xfId="0" applyFont="1" applyBorder="1" applyAlignment="1">
      <alignment horizontal="left" vertical="top" wrapText="1"/>
    </xf>
    <xf numFmtId="0" fontId="66" fillId="0" borderId="5" xfId="0" applyFont="1" applyBorder="1" applyAlignment="1">
      <alignment vertical="top" wrapText="1"/>
    </xf>
    <xf numFmtId="0" fontId="65" fillId="0" borderId="5" xfId="0" applyFont="1" applyBorder="1" applyAlignment="1">
      <alignment vertical="top" wrapText="1"/>
    </xf>
    <xf numFmtId="0" fontId="66" fillId="18" borderId="51" xfId="0" applyFont="1" applyFill="1" applyBorder="1" applyAlignment="1">
      <alignment vertical="center" wrapText="1"/>
    </xf>
    <xf numFmtId="0" fontId="0" fillId="0" borderId="0" xfId="0" applyFont="1"/>
    <xf numFmtId="0" fontId="0" fillId="18" borderId="51" xfId="0" applyFont="1" applyFill="1" applyBorder="1" applyAlignment="1">
      <alignment vertical="center"/>
    </xf>
    <xf numFmtId="0" fontId="66" fillId="0" borderId="45" xfId="0" applyFont="1" applyBorder="1" applyAlignment="1">
      <alignment horizontal="justify" vertical="top" wrapText="1"/>
    </xf>
    <xf numFmtId="0" fontId="66" fillId="0" borderId="24" xfId="0" applyFont="1" applyBorder="1" applyAlignment="1">
      <alignment vertical="top" wrapText="1"/>
    </xf>
    <xf numFmtId="0" fontId="0" fillId="15" borderId="23" xfId="0" applyFont="1" applyFill="1" applyBorder="1" applyAlignment="1">
      <alignment vertical="center"/>
    </xf>
    <xf numFmtId="0" fontId="0" fillId="0" borderId="24" xfId="0" applyFont="1" applyBorder="1"/>
    <xf numFmtId="0" fontId="0" fillId="0" borderId="25" xfId="0" applyFont="1" applyBorder="1"/>
    <xf numFmtId="0" fontId="0" fillId="12" borderId="48" xfId="0" applyFont="1" applyFill="1" applyBorder="1" applyAlignment="1">
      <alignment vertical="center"/>
    </xf>
    <xf numFmtId="0" fontId="14" fillId="0" borderId="41" xfId="0" applyFont="1" applyBorder="1" applyAlignment="1">
      <alignment horizontal="left" vertical="top" wrapText="1"/>
    </xf>
    <xf numFmtId="0" fontId="0" fillId="12" borderId="50" xfId="0" applyFont="1" applyFill="1" applyBorder="1" applyAlignment="1">
      <alignment vertical="center"/>
    </xf>
    <xf numFmtId="0" fontId="14" fillId="0" borderId="49" xfId="0" applyFont="1" applyBorder="1" applyAlignment="1">
      <alignment horizontal="left" vertical="top" wrapText="1"/>
    </xf>
    <xf numFmtId="0" fontId="14" fillId="0" borderId="25" xfId="0" applyFont="1" applyBorder="1" applyAlignment="1">
      <alignment horizontal="justify" vertical="top" wrapText="1"/>
    </xf>
    <xf numFmtId="0" fontId="0" fillId="15" borderId="24" xfId="0" applyFont="1" applyFill="1" applyBorder="1" applyAlignment="1">
      <alignment vertical="center"/>
    </xf>
    <xf numFmtId="0" fontId="0" fillId="15" borderId="2" xfId="0" applyFont="1" applyFill="1" applyBorder="1" applyAlignment="1">
      <alignment vertical="center"/>
    </xf>
    <xf numFmtId="0" fontId="14" fillId="0" borderId="2" xfId="0" applyFont="1" applyBorder="1" applyAlignment="1">
      <alignment horizontal="left" vertical="top" wrapText="1"/>
    </xf>
    <xf numFmtId="0" fontId="66" fillId="0" borderId="2" xfId="0" applyFont="1" applyBorder="1" applyAlignment="1">
      <alignment vertical="top" wrapText="1"/>
    </xf>
    <xf numFmtId="0" fontId="67" fillId="0" borderId="0" xfId="0" applyFont="1" applyAlignment="1">
      <alignment horizontal="justify"/>
    </xf>
    <xf numFmtId="0" fontId="66" fillId="0" borderId="44" xfId="0" applyFont="1" applyBorder="1" applyAlignment="1">
      <alignment horizontal="justify" vertical="top" wrapText="1"/>
    </xf>
    <xf numFmtId="0" fontId="0" fillId="14" borderId="2" xfId="0" applyFont="1" applyFill="1" applyBorder="1" applyAlignment="1">
      <alignment vertical="center"/>
    </xf>
    <xf numFmtId="0" fontId="66" fillId="0" borderId="20" xfId="0" applyFont="1" applyBorder="1" applyAlignment="1">
      <alignment vertical="top" wrapText="1"/>
    </xf>
    <xf numFmtId="0" fontId="0" fillId="18" borderId="13" xfId="0" applyFont="1" applyFill="1" applyBorder="1"/>
    <xf numFmtId="0" fontId="0" fillId="14" borderId="25" xfId="0" applyFont="1" applyFill="1" applyBorder="1" applyAlignment="1">
      <alignment vertical="center"/>
    </xf>
    <xf numFmtId="0" fontId="67" fillId="0" borderId="0" xfId="0" applyFont="1"/>
    <xf numFmtId="0" fontId="68" fillId="0" borderId="45" xfId="0" applyFont="1" applyBorder="1" applyAlignment="1">
      <alignment vertical="top" wrapText="1"/>
    </xf>
    <xf numFmtId="0" fontId="0" fillId="11" borderId="2" xfId="0" applyFont="1" applyFill="1" applyBorder="1"/>
    <xf numFmtId="0" fontId="14" fillId="0" borderId="2" xfId="0" applyFont="1" applyBorder="1" applyAlignment="1">
      <alignment horizontal="justify" vertical="top" wrapText="1"/>
    </xf>
    <xf numFmtId="0" fontId="0" fillId="11" borderId="2" xfId="0" applyFont="1" applyFill="1" applyBorder="1" applyAlignment="1">
      <alignment horizontal="left" vertical="center"/>
    </xf>
    <xf numFmtId="0" fontId="0" fillId="11" borderId="25" xfId="0" applyFont="1" applyFill="1" applyBorder="1"/>
    <xf numFmtId="0" fontId="14" fillId="0" borderId="60" xfId="0" applyFont="1" applyBorder="1" applyAlignment="1">
      <alignment horizontal="left" vertical="top" wrapText="1"/>
    </xf>
    <xf numFmtId="0" fontId="0" fillId="11" borderId="23" xfId="0" applyFont="1" applyFill="1" applyBorder="1"/>
    <xf numFmtId="0" fontId="32" fillId="11" borderId="25" xfId="0" applyFont="1" applyFill="1" applyBorder="1" applyAlignment="1">
      <alignment horizontal="center" vertical="top" wrapText="1"/>
    </xf>
    <xf numFmtId="0" fontId="66" fillId="0" borderId="30" xfId="0" applyFont="1" applyBorder="1" applyAlignment="1">
      <alignment vertical="top" wrapText="1"/>
    </xf>
    <xf numFmtId="0" fontId="0" fillId="0" borderId="0" xfId="0"/>
    <xf numFmtId="0" fontId="0" fillId="15" borderId="24" xfId="0" applyFill="1" applyBorder="1"/>
    <xf numFmtId="0" fontId="32" fillId="11" borderId="2" xfId="0" applyFont="1" applyFill="1" applyBorder="1" applyAlignment="1">
      <alignment vertical="center"/>
    </xf>
    <xf numFmtId="0" fontId="13" fillId="11" borderId="16" xfId="0" applyFont="1" applyFill="1" applyBorder="1" applyAlignment="1">
      <alignment horizontal="center"/>
    </xf>
    <xf numFmtId="0" fontId="0" fillId="0" borderId="16" xfId="0" applyFont="1" applyBorder="1"/>
    <xf numFmtId="0" fontId="53" fillId="12" borderId="2" xfId="0" applyFont="1" applyFill="1" applyBorder="1" applyAlignment="1">
      <alignment horizontal="left" vertical="center" textRotation="45"/>
    </xf>
    <xf numFmtId="0" fontId="53" fillId="12" borderId="2" xfId="0" applyFont="1" applyFill="1" applyBorder="1" applyAlignment="1">
      <alignment horizontal="left" vertical="center" textRotation="45" wrapText="1"/>
    </xf>
    <xf numFmtId="0" fontId="52" fillId="12" borderId="2" xfId="0" applyFont="1" applyFill="1" applyBorder="1" applyAlignment="1">
      <alignment horizontal="center" textRotation="45" wrapText="1"/>
    </xf>
    <xf numFmtId="0" fontId="52" fillId="12" borderId="2" xfId="0" applyFont="1" applyFill="1" applyBorder="1" applyAlignment="1">
      <alignment horizontal="left" textRotation="45" wrapText="1"/>
    </xf>
    <xf numFmtId="0" fontId="51" fillId="12" borderId="2" xfId="0" applyFont="1" applyFill="1" applyBorder="1" applyAlignment="1">
      <alignment horizontal="left" textRotation="45" wrapText="1"/>
    </xf>
    <xf numFmtId="0" fontId="51" fillId="0" borderId="2" xfId="0" applyFont="1" applyBorder="1" applyAlignment="1">
      <alignment horizontal="left" textRotation="45" wrapText="1"/>
    </xf>
    <xf numFmtId="0" fontId="49" fillId="0" borderId="2" xfId="0" applyFont="1" applyBorder="1" applyAlignment="1">
      <alignment horizontal="left"/>
    </xf>
    <xf numFmtId="0" fontId="49" fillId="12" borderId="2" xfId="0" applyFont="1" applyFill="1" applyBorder="1" applyAlignment="1">
      <alignment horizontal="left" textRotation="45" wrapText="1"/>
    </xf>
    <xf numFmtId="0" fontId="49" fillId="12" borderId="2" xfId="0" applyFont="1" applyFill="1" applyBorder="1" applyAlignment="1">
      <alignment horizontal="left" textRotation="45"/>
    </xf>
    <xf numFmtId="0" fontId="51" fillId="12" borderId="2" xfId="0" applyFont="1" applyFill="1" applyBorder="1" applyAlignment="1">
      <alignment horizontal="center" textRotation="45" wrapText="1"/>
    </xf>
    <xf numFmtId="0" fontId="23" fillId="0" borderId="0" xfId="0" applyFont="1"/>
    <xf numFmtId="0" fontId="68" fillId="0" borderId="0" xfId="0" applyFont="1"/>
    <xf numFmtId="0" fontId="32" fillId="17" borderId="45" xfId="0" applyFont="1" applyFill="1" applyBorder="1" applyAlignment="1">
      <alignment horizontal="right" vertical="top" wrapText="1"/>
    </xf>
    <xf numFmtId="0" fontId="32" fillId="17" borderId="45" xfId="0" applyFont="1" applyFill="1" applyBorder="1" applyAlignment="1">
      <alignment vertical="top" wrapText="1"/>
    </xf>
    <xf numFmtId="0" fontId="13" fillId="17" borderId="12" xfId="0" applyFont="1" applyFill="1" applyBorder="1" applyAlignment="1">
      <alignment horizontal="center" vertical="top" wrapText="1"/>
    </xf>
    <xf numFmtId="0" fontId="66" fillId="17" borderId="12" xfId="0" applyFont="1" applyFill="1" applyBorder="1" applyAlignment="1">
      <alignment horizontal="left" vertical="top" wrapText="1" indent="1"/>
    </xf>
    <xf numFmtId="0" fontId="13" fillId="17" borderId="45" xfId="0" applyFont="1" applyFill="1" applyBorder="1" applyAlignment="1">
      <alignment horizontal="center" vertical="top" wrapText="1"/>
    </xf>
    <xf numFmtId="0" fontId="66" fillId="17" borderId="45" xfId="0" applyFont="1" applyFill="1" applyBorder="1" applyAlignment="1">
      <alignment horizontal="left" vertical="top" wrapText="1" indent="1"/>
    </xf>
    <xf numFmtId="0" fontId="13" fillId="17" borderId="10" xfId="0" applyFont="1" applyFill="1" applyBorder="1" applyAlignment="1">
      <alignment horizontal="center" vertical="top" wrapText="1"/>
    </xf>
    <xf numFmtId="0" fontId="13" fillId="17" borderId="10" xfId="0" applyFont="1" applyFill="1" applyBorder="1" applyAlignment="1">
      <alignment horizontal="left" vertical="top" wrapText="1" indent="1"/>
    </xf>
    <xf numFmtId="0" fontId="13" fillId="17" borderId="12" xfId="0" applyFont="1" applyFill="1" applyBorder="1" applyAlignment="1">
      <alignment horizontal="left" vertical="top" wrapText="1" indent="1"/>
    </xf>
    <xf numFmtId="0" fontId="13" fillId="17" borderId="45" xfId="0" applyFont="1" applyFill="1" applyBorder="1" applyAlignment="1">
      <alignment horizontal="left" vertical="top" wrapText="1" indent="1"/>
    </xf>
    <xf numFmtId="0" fontId="32" fillId="17" borderId="47" xfId="0" applyFont="1" applyFill="1" applyBorder="1" applyAlignment="1">
      <alignment horizontal="center" vertical="center" wrapText="1"/>
    </xf>
    <xf numFmtId="0" fontId="13" fillId="17" borderId="45" xfId="0" applyFont="1" applyFill="1" applyBorder="1" applyAlignment="1">
      <alignment vertical="center" wrapText="1"/>
    </xf>
    <xf numFmtId="0" fontId="13" fillId="17" borderId="12" xfId="0" applyFont="1" applyFill="1" applyBorder="1" applyAlignment="1">
      <alignment horizontal="center" vertical="center" wrapText="1"/>
    </xf>
    <xf numFmtId="0" fontId="13" fillId="17" borderId="44" xfId="0" applyFont="1" applyFill="1" applyBorder="1" applyAlignment="1">
      <alignment horizontal="center" vertical="center" wrapText="1"/>
    </xf>
    <xf numFmtId="0" fontId="13" fillId="17" borderId="10" xfId="0" applyFont="1" applyFill="1" applyBorder="1" applyAlignment="1">
      <alignment horizontal="center" vertical="center" wrapText="1"/>
    </xf>
    <xf numFmtId="0" fontId="13" fillId="17" borderId="45" xfId="0" applyFont="1" applyFill="1" applyBorder="1" applyAlignment="1">
      <alignment vertical="top" wrapText="1"/>
    </xf>
    <xf numFmtId="0" fontId="13" fillId="17" borderId="44" xfId="0" applyFont="1" applyFill="1" applyBorder="1" applyAlignment="1">
      <alignment vertical="top" wrapText="1"/>
    </xf>
    <xf numFmtId="0" fontId="66" fillId="17" borderId="10" xfId="0" applyFont="1" applyFill="1" applyBorder="1" applyAlignment="1">
      <alignment horizontal="left" vertical="top" wrapText="1" indent="1"/>
    </xf>
    <xf numFmtId="0" fontId="49" fillId="0" borderId="5" xfId="0" applyFont="1" applyBorder="1" applyAlignment="1">
      <alignment horizontal="center" vertical="center"/>
    </xf>
    <xf numFmtId="164" fontId="49" fillId="0" borderId="5" xfId="1" applyFont="1" applyBorder="1" applyAlignment="1">
      <alignment horizontal="center" vertical="center"/>
    </xf>
    <xf numFmtId="164" fontId="58" fillId="0" borderId="5" xfId="1" applyFont="1" applyBorder="1" applyAlignment="1">
      <alignment horizontal="center" vertical="center"/>
    </xf>
    <xf numFmtId="0" fontId="49" fillId="0" borderId="5" xfId="0" applyFont="1" applyBorder="1" applyAlignment="1">
      <alignment horizontal="center"/>
    </xf>
    <xf numFmtId="0" fontId="33" fillId="0" borderId="2" xfId="0" applyFont="1" applyBorder="1" applyAlignment="1">
      <alignment horizontal="left" vertical="center" wrapText="1"/>
    </xf>
    <xf numFmtId="0" fontId="0" fillId="0" borderId="2" xfId="0" applyBorder="1" applyAlignment="1">
      <alignment horizontal="center" vertical="center"/>
    </xf>
    <xf numFmtId="0" fontId="38" fillId="0" borderId="2" xfId="0" applyFont="1" applyBorder="1" applyAlignment="1">
      <alignment vertical="center" wrapText="1"/>
    </xf>
    <xf numFmtId="0" fontId="33" fillId="0" borderId="2" xfId="0" applyFont="1" applyBorder="1" applyAlignment="1">
      <alignment horizontal="justify" vertical="center" wrapText="1"/>
    </xf>
    <xf numFmtId="0" fontId="0" fillId="14" borderId="2" xfId="0" applyFill="1" applyBorder="1" applyAlignment="1">
      <alignment horizontal="center" vertical="center"/>
    </xf>
    <xf numFmtId="0" fontId="0" fillId="11" borderId="2" xfId="0" applyFill="1" applyBorder="1" applyAlignment="1">
      <alignment horizontal="center" vertical="center"/>
    </xf>
    <xf numFmtId="0" fontId="32" fillId="18" borderId="50" xfId="0" applyFont="1" applyFill="1" applyBorder="1" applyAlignment="1">
      <alignment vertical="center"/>
    </xf>
    <xf numFmtId="0" fontId="32" fillId="15" borderId="2" xfId="0" applyFont="1" applyFill="1" applyBorder="1" applyAlignment="1">
      <alignment vertical="center"/>
    </xf>
    <xf numFmtId="0" fontId="0" fillId="0" borderId="20" xfId="0" applyBorder="1" applyAlignment="1"/>
    <xf numFmtId="0" fontId="0" fillId="0" borderId="13" xfId="0" applyBorder="1" applyAlignment="1"/>
    <xf numFmtId="0" fontId="0" fillId="0" borderId="0" xfId="0"/>
    <xf numFmtId="0" fontId="50" fillId="6" borderId="13" xfId="0" applyFont="1" applyFill="1" applyBorder="1" applyAlignment="1">
      <alignment horizontal="center"/>
    </xf>
    <xf numFmtId="0" fontId="0" fillId="21" borderId="15" xfId="0" applyFill="1" applyBorder="1"/>
    <xf numFmtId="0" fontId="0" fillId="21" borderId="2" xfId="0" applyFill="1" applyBorder="1"/>
    <xf numFmtId="0" fontId="0" fillId="21" borderId="16" xfId="0" applyFill="1" applyBorder="1"/>
    <xf numFmtId="0" fontId="25" fillId="21" borderId="13" xfId="0" applyFont="1" applyFill="1" applyBorder="1" applyAlignment="1">
      <alignment horizontal="center" vertical="center"/>
    </xf>
    <xf numFmtId="166" fontId="0" fillId="21" borderId="13" xfId="0" applyNumberFormat="1" applyFill="1" applyBorder="1" applyAlignment="1">
      <alignment horizontal="center"/>
    </xf>
    <xf numFmtId="166" fontId="0" fillId="0" borderId="13" xfId="0" applyNumberFormat="1" applyBorder="1" applyAlignment="1">
      <alignment horizontal="center" vertical="center"/>
    </xf>
    <xf numFmtId="0" fontId="0" fillId="0" borderId="13" xfId="0" applyBorder="1" applyAlignment="1">
      <alignment horizontal="center" vertical="center"/>
    </xf>
    <xf numFmtId="0" fontId="51" fillId="0" borderId="2" xfId="0" applyFont="1" applyFill="1" applyBorder="1" applyAlignment="1">
      <alignment horizontal="left" textRotation="45" wrapText="1"/>
    </xf>
    <xf numFmtId="0" fontId="52" fillId="0" borderId="2" xfId="0" applyFont="1" applyFill="1" applyBorder="1" applyAlignment="1">
      <alignment horizontal="left" textRotation="45" wrapText="1"/>
    </xf>
    <xf numFmtId="0" fontId="52" fillId="0" borderId="5" xfId="0" applyFont="1" applyFill="1" applyBorder="1" applyAlignment="1">
      <alignment horizontal="center" vertical="top" wrapText="1"/>
    </xf>
    <xf numFmtId="0" fontId="49" fillId="0" borderId="0" xfId="0" applyFont="1" applyFill="1" applyAlignment="1">
      <alignment horizontal="center"/>
    </xf>
    <xf numFmtId="164" fontId="49" fillId="0" borderId="2" xfId="1" applyFont="1" applyFill="1" applyBorder="1" applyAlignment="1">
      <alignment horizontal="center" vertical="center"/>
    </xf>
    <xf numFmtId="164" fontId="58" fillId="0" borderId="2" xfId="1" applyFont="1" applyFill="1" applyBorder="1" applyAlignment="1">
      <alignment horizontal="center" vertical="center"/>
    </xf>
    <xf numFmtId="0" fontId="0" fillId="0" borderId="2" xfId="0" applyFont="1" applyBorder="1" applyAlignment="1">
      <alignment horizontal="center" vertical="center"/>
    </xf>
    <xf numFmtId="0" fontId="0" fillId="0" borderId="2" xfId="0" applyFont="1" applyFill="1" applyBorder="1" applyAlignment="1">
      <alignment horizontal="center" vertical="center"/>
    </xf>
    <xf numFmtId="164" fontId="24" fillId="0" borderId="2" xfId="1" applyFont="1" applyBorder="1" applyAlignment="1">
      <alignment horizontal="center" vertical="center"/>
    </xf>
    <xf numFmtId="164" fontId="24" fillId="0" borderId="2" xfId="1" applyFont="1" applyFill="1" applyBorder="1" applyAlignment="1">
      <alignment horizontal="center" vertical="center"/>
    </xf>
    <xf numFmtId="0" fontId="0" fillId="0" borderId="0" xfId="0"/>
    <xf numFmtId="164" fontId="50" fillId="0" borderId="2" xfId="0" applyNumberFormat="1" applyFont="1" applyFill="1" applyBorder="1" applyAlignment="1">
      <alignment horizontal="center" wrapText="1"/>
    </xf>
    <xf numFmtId="0" fontId="49" fillId="22" borderId="13" xfId="0" applyFont="1" applyFill="1" applyBorder="1" applyAlignment="1">
      <alignment wrapText="1"/>
    </xf>
    <xf numFmtId="0" fontId="34" fillId="15" borderId="5" xfId="0" applyFont="1" applyFill="1" applyBorder="1" applyAlignment="1">
      <alignment vertical="center" wrapText="1"/>
    </xf>
    <xf numFmtId="0" fontId="0" fillId="0" borderId="20" xfId="0" applyBorder="1" applyAlignment="1">
      <alignment vertical="center"/>
    </xf>
    <xf numFmtId="0" fontId="0" fillId="0" borderId="13" xfId="0" applyBorder="1" applyAlignment="1">
      <alignment vertical="center"/>
    </xf>
    <xf numFmtId="0" fontId="39" fillId="16" borderId="5" xfId="0" applyFont="1" applyFill="1" applyBorder="1" applyAlignment="1">
      <alignment vertical="center" wrapText="1"/>
    </xf>
    <xf numFmtId="0" fontId="0" fillId="0" borderId="20" xfId="0" applyBorder="1" applyAlignment="1">
      <alignment vertical="center" wrapText="1"/>
    </xf>
    <xf numFmtId="0" fontId="0" fillId="0" borderId="13" xfId="0" applyBorder="1" applyAlignment="1">
      <alignment vertical="center" wrapText="1"/>
    </xf>
    <xf numFmtId="0" fontId="39" fillId="14" borderId="20" xfId="0" applyFont="1" applyFill="1" applyBorder="1" applyAlignment="1">
      <alignment vertical="center" wrapText="1"/>
    </xf>
    <xf numFmtId="0" fontId="34" fillId="11" borderId="20" xfId="0" applyFont="1" applyFill="1" applyBorder="1" applyAlignment="1">
      <alignment vertical="top" wrapText="1"/>
    </xf>
    <xf numFmtId="0" fontId="0" fillId="0" borderId="0" xfId="0"/>
    <xf numFmtId="0" fontId="12" fillId="0" borderId="2" xfId="0" applyFont="1" applyBorder="1" applyAlignment="1">
      <alignment horizontal="left" vertical="top" wrapText="1"/>
    </xf>
    <xf numFmtId="0" fontId="12" fillId="0" borderId="23" xfId="0" applyFont="1" applyBorder="1" applyAlignment="1">
      <alignment horizontal="left" vertical="top" wrapText="1"/>
    </xf>
    <xf numFmtId="0" fontId="12" fillId="0" borderId="24" xfId="0" applyFont="1" applyBorder="1" applyAlignment="1">
      <alignment horizontal="left" vertical="top" wrapText="1"/>
    </xf>
    <xf numFmtId="0" fontId="12" fillId="0" borderId="25" xfId="0" applyFont="1" applyBorder="1" applyAlignment="1">
      <alignment horizontal="left" vertical="top" wrapText="1"/>
    </xf>
    <xf numFmtId="0" fontId="12" fillId="0" borderId="60" xfId="0" applyFont="1" applyBorder="1" applyAlignment="1">
      <alignment horizontal="left" vertical="top" wrapText="1"/>
    </xf>
    <xf numFmtId="0" fontId="12" fillId="0" borderId="41" xfId="0" applyFont="1" applyBorder="1" applyAlignment="1">
      <alignment horizontal="left" vertical="top" wrapText="1"/>
    </xf>
    <xf numFmtId="0" fontId="29" fillId="15" borderId="7" xfId="0" applyFont="1" applyFill="1" applyBorder="1" applyAlignment="1">
      <alignment horizontal="left"/>
    </xf>
    <xf numFmtId="0" fontId="0" fillId="15" borderId="36" xfId="0" applyFill="1" applyBorder="1"/>
    <xf numFmtId="0" fontId="0" fillId="15" borderId="8" xfId="0" applyFill="1" applyBorder="1"/>
    <xf numFmtId="0" fontId="27" fillId="15" borderId="36" xfId="0" applyFont="1" applyFill="1" applyBorder="1" applyAlignment="1">
      <alignment vertical="center" wrapText="1"/>
    </xf>
    <xf numFmtId="0" fontId="27" fillId="15" borderId="8" xfId="0" applyFont="1" applyFill="1" applyBorder="1" applyAlignment="1">
      <alignment vertical="center" wrapText="1"/>
    </xf>
    <xf numFmtId="0" fontId="27" fillId="21" borderId="9" xfId="0" applyFont="1" applyFill="1" applyBorder="1" applyAlignment="1">
      <alignment vertical="center"/>
    </xf>
    <xf numFmtId="0" fontId="27" fillId="21" borderId="28" xfId="0" applyFont="1" applyFill="1" applyBorder="1" applyAlignment="1">
      <alignment vertical="center" wrapText="1"/>
    </xf>
    <xf numFmtId="0" fontId="27" fillId="21" borderId="10" xfId="0" applyFont="1" applyFill="1" applyBorder="1" applyAlignment="1">
      <alignment vertical="center" wrapText="1"/>
    </xf>
    <xf numFmtId="0" fontId="29" fillId="15" borderId="36" xfId="0" applyFont="1" applyFill="1" applyBorder="1" applyAlignment="1">
      <alignment vertical="center"/>
    </xf>
    <xf numFmtId="0" fontId="27" fillId="15" borderId="0" xfId="0" applyFont="1" applyFill="1" applyBorder="1" applyAlignment="1">
      <alignment vertical="center" wrapText="1"/>
    </xf>
    <xf numFmtId="166" fontId="70" fillId="15" borderId="0" xfId="0" applyNumberFormat="1" applyFont="1" applyFill="1" applyBorder="1" applyAlignment="1">
      <alignment vertical="center"/>
    </xf>
    <xf numFmtId="0" fontId="29" fillId="15" borderId="11" xfId="0" applyFont="1" applyFill="1" applyBorder="1" applyAlignment="1">
      <alignment horizontal="left"/>
    </xf>
    <xf numFmtId="0" fontId="29" fillId="15" borderId="0" xfId="0" applyFont="1" applyFill="1" applyBorder="1" applyAlignment="1">
      <alignment vertical="center" wrapText="1"/>
    </xf>
    <xf numFmtId="0" fontId="29" fillId="15" borderId="51" xfId="0" applyFont="1" applyFill="1" applyBorder="1" applyAlignment="1">
      <alignment vertical="center"/>
    </xf>
    <xf numFmtId="0" fontId="27" fillId="15" borderId="12" xfId="0" applyFont="1" applyFill="1" applyBorder="1" applyAlignment="1">
      <alignment vertical="center" wrapText="1"/>
    </xf>
    <xf numFmtId="0" fontId="70" fillId="15" borderId="11" xfId="0" applyFont="1" applyFill="1" applyBorder="1" applyAlignment="1">
      <alignment vertical="center" wrapText="1"/>
    </xf>
    <xf numFmtId="166" fontId="70" fillId="15" borderId="29" xfId="0" applyNumberFormat="1" applyFont="1" applyFill="1" applyBorder="1" applyAlignment="1">
      <alignment vertical="center"/>
    </xf>
    <xf numFmtId="166" fontId="70" fillId="21" borderId="30" xfId="0" applyNumberFormat="1" applyFont="1" applyFill="1" applyBorder="1" applyAlignment="1">
      <alignment vertical="center"/>
    </xf>
    <xf numFmtId="166" fontId="27" fillId="21" borderId="30" xfId="0" applyNumberFormat="1" applyFont="1" applyFill="1" applyBorder="1" applyAlignment="1">
      <alignment vertical="center" wrapText="1"/>
    </xf>
    <xf numFmtId="0" fontId="70" fillId="15" borderId="29" xfId="0" applyFont="1" applyFill="1" applyBorder="1" applyAlignment="1">
      <alignment vertical="center" wrapText="1"/>
    </xf>
    <xf numFmtId="0" fontId="29" fillId="15" borderId="11" xfId="0" applyFont="1" applyFill="1" applyBorder="1" applyAlignment="1">
      <alignment horizontal="left" vertical="center"/>
    </xf>
    <xf numFmtId="0" fontId="0" fillId="15" borderId="30" xfId="0" applyFill="1" applyBorder="1" applyAlignment="1">
      <alignment vertical="center"/>
    </xf>
    <xf numFmtId="0" fontId="29" fillId="15" borderId="29" xfId="0" applyFont="1" applyFill="1" applyBorder="1" applyAlignment="1">
      <alignment horizontal="left" vertical="center"/>
    </xf>
    <xf numFmtId="0" fontId="0" fillId="21" borderId="30" xfId="0" applyFill="1" applyBorder="1" applyAlignment="1">
      <alignment vertical="center"/>
    </xf>
    <xf numFmtId="164" fontId="70" fillId="21" borderId="30" xfId="1" applyFont="1" applyFill="1" applyBorder="1" applyAlignment="1">
      <alignment horizontal="left" vertical="center" wrapText="1"/>
    </xf>
    <xf numFmtId="0" fontId="0" fillId="18" borderId="15" xfId="0" applyFont="1" applyFill="1" applyBorder="1" applyAlignment="1">
      <alignment horizontal="center"/>
    </xf>
    <xf numFmtId="0" fontId="0" fillId="18" borderId="76" xfId="0" applyFill="1" applyBorder="1" applyAlignment="1">
      <alignment horizontal="center" vertical="center" wrapText="1"/>
    </xf>
    <xf numFmtId="0" fontId="0" fillId="0" borderId="25" xfId="0" applyBorder="1" applyAlignment="1">
      <alignment horizontal="center" vertical="center"/>
    </xf>
    <xf numFmtId="0" fontId="0" fillId="0" borderId="25" xfId="0" applyBorder="1"/>
    <xf numFmtId="0" fontId="0" fillId="0" borderId="77" xfId="0" applyBorder="1"/>
    <xf numFmtId="0" fontId="0" fillId="18" borderId="73" xfId="0" applyFill="1" applyBorder="1" applyAlignment="1">
      <alignment horizontal="center" vertical="center" wrapText="1"/>
    </xf>
    <xf numFmtId="0" fontId="72" fillId="0" borderId="23" xfId="0" applyFont="1" applyBorder="1" applyAlignment="1">
      <alignment horizontal="center" vertical="center"/>
    </xf>
    <xf numFmtId="0" fontId="12" fillId="0" borderId="23" xfId="0" applyFont="1" applyFill="1" applyBorder="1" applyAlignment="1">
      <alignment horizontal="left" vertical="top" wrapText="1"/>
    </xf>
    <xf numFmtId="0" fontId="0" fillId="0" borderId="0" xfId="0" applyFont="1" applyAlignment="1">
      <alignment vertical="top"/>
    </xf>
    <xf numFmtId="0" fontId="50" fillId="0" borderId="2" xfId="0" applyFont="1" applyBorder="1" applyAlignment="1">
      <alignment horizontal="center"/>
    </xf>
    <xf numFmtId="0" fontId="73" fillId="0" borderId="2" xfId="0" applyFont="1" applyBorder="1"/>
    <xf numFmtId="0" fontId="49" fillId="12" borderId="51" xfId="0" applyFont="1" applyFill="1" applyBorder="1" applyAlignment="1"/>
    <xf numFmtId="0" fontId="49" fillId="0" borderId="32" xfId="0" applyFont="1" applyBorder="1"/>
    <xf numFmtId="0" fontId="50" fillId="0" borderId="2" xfId="0" applyFont="1" applyBorder="1" applyAlignment="1">
      <alignment horizontal="center" vertical="center"/>
    </xf>
    <xf numFmtId="0" fontId="50" fillId="0" borderId="2" xfId="0" applyFont="1" applyBorder="1"/>
    <xf numFmtId="0" fontId="49" fillId="0" borderId="51" xfId="0" applyFont="1" applyBorder="1"/>
    <xf numFmtId="0" fontId="0" fillId="18" borderId="24" xfId="0" applyFont="1" applyFill="1" applyBorder="1" applyAlignment="1">
      <alignment vertical="center"/>
    </xf>
    <xf numFmtId="0" fontId="75" fillId="0" borderId="2" xfId="0" applyFont="1" applyFill="1" applyBorder="1" applyAlignment="1">
      <alignment horizontal="center" vertical="center" textRotation="90" wrapText="1"/>
    </xf>
    <xf numFmtId="0" fontId="77" fillId="17" borderId="45" xfId="0" applyFont="1" applyFill="1" applyBorder="1" applyAlignment="1">
      <alignment horizontal="left" vertical="top" wrapText="1" indent="1"/>
    </xf>
    <xf numFmtId="0" fontId="77" fillId="17" borderId="12" xfId="0" applyFont="1" applyFill="1" applyBorder="1" applyAlignment="1">
      <alignment horizontal="left" vertical="top" wrapText="1" indent="1"/>
    </xf>
    <xf numFmtId="0" fontId="78" fillId="17" borderId="10" xfId="0" applyFont="1" applyFill="1" applyBorder="1" applyAlignment="1">
      <alignment horizontal="left" vertical="top" wrapText="1" indent="1"/>
    </xf>
    <xf numFmtId="0" fontId="33" fillId="17" borderId="12" xfId="0" applyFont="1" applyFill="1" applyBorder="1" applyAlignment="1">
      <alignment horizontal="left" vertical="top" wrapText="1" indent="1"/>
    </xf>
    <xf numFmtId="0" fontId="33" fillId="17" borderId="45" xfId="0" applyFont="1" applyFill="1" applyBorder="1" applyAlignment="1">
      <alignment horizontal="left" vertical="top" wrapText="1" indent="1"/>
    </xf>
    <xf numFmtId="0" fontId="33" fillId="17" borderId="10" xfId="0" applyFont="1" applyFill="1" applyBorder="1" applyAlignment="1">
      <alignment horizontal="left" vertical="top" wrapText="1" indent="1"/>
    </xf>
    <xf numFmtId="0" fontId="77" fillId="17" borderId="10" xfId="0" applyFont="1" applyFill="1" applyBorder="1" applyAlignment="1">
      <alignment horizontal="left" vertical="top" wrapText="1" indent="1"/>
    </xf>
    <xf numFmtId="0" fontId="78" fillId="17" borderId="12" xfId="0" applyFont="1" applyFill="1" applyBorder="1" applyAlignment="1">
      <alignment horizontal="left" vertical="top" wrapText="1" indent="1"/>
    </xf>
    <xf numFmtId="0" fontId="78" fillId="17" borderId="45" xfId="0" applyFont="1" applyFill="1" applyBorder="1" applyAlignment="1">
      <alignment horizontal="left" vertical="top" wrapText="1" indent="1"/>
    </xf>
    <xf numFmtId="0" fontId="38" fillId="17" borderId="12" xfId="0" applyFont="1" applyFill="1" applyBorder="1" applyAlignment="1">
      <alignment horizontal="left" vertical="top" wrapText="1" indent="1"/>
    </xf>
    <xf numFmtId="0" fontId="38" fillId="17" borderId="10" xfId="0" applyFont="1" applyFill="1" applyBorder="1" applyAlignment="1">
      <alignment horizontal="left" vertical="top" wrapText="1" indent="1"/>
    </xf>
    <xf numFmtId="0" fontId="32" fillId="11" borderId="20" xfId="0" applyFont="1" applyFill="1" applyBorder="1" applyAlignment="1">
      <alignment vertical="top" wrapText="1"/>
    </xf>
    <xf numFmtId="0" fontId="0" fillId="11" borderId="23" xfId="0" applyFill="1" applyBorder="1" applyAlignment="1">
      <alignment vertical="center"/>
    </xf>
    <xf numFmtId="0" fontId="0" fillId="11" borderId="24" xfId="0" applyFill="1" applyBorder="1" applyAlignment="1">
      <alignment vertical="center"/>
    </xf>
    <xf numFmtId="0" fontId="23" fillId="14" borderId="2" xfId="0" applyFont="1" applyFill="1" applyBorder="1" applyAlignment="1">
      <alignment vertical="center"/>
    </xf>
    <xf numFmtId="0" fontId="20" fillId="14" borderId="2" xfId="0" applyFont="1" applyFill="1" applyBorder="1" applyAlignment="1">
      <alignment horizontal="center" vertical="center"/>
    </xf>
    <xf numFmtId="0" fontId="20" fillId="0" borderId="2" xfId="0" applyFont="1" applyBorder="1" applyAlignment="1">
      <alignment horizontal="center" vertical="center"/>
    </xf>
    <xf numFmtId="0" fontId="20" fillId="11" borderId="2" xfId="0" applyFont="1" applyFill="1" applyBorder="1" applyAlignment="1">
      <alignment horizontal="center" vertical="center"/>
    </xf>
    <xf numFmtId="0" fontId="20" fillId="15" borderId="2" xfId="0" applyFont="1" applyFill="1" applyBorder="1" applyAlignment="1">
      <alignment horizontal="center" vertical="center"/>
    </xf>
    <xf numFmtId="0" fontId="20" fillId="0" borderId="15" xfId="0" applyFont="1" applyBorder="1" applyAlignment="1">
      <alignment vertical="center"/>
    </xf>
    <xf numFmtId="0" fontId="20" fillId="0" borderId="2" xfId="0" applyFont="1" applyBorder="1" applyAlignment="1">
      <alignment vertical="center"/>
    </xf>
    <xf numFmtId="0" fontId="20" fillId="0" borderId="16" xfId="0" applyFont="1" applyBorder="1" applyAlignment="1">
      <alignment vertical="center"/>
    </xf>
    <xf numFmtId="0" fontId="20" fillId="18" borderId="15" xfId="0" applyFont="1" applyFill="1" applyBorder="1" applyAlignment="1">
      <alignment horizontal="center" vertical="center"/>
    </xf>
    <xf numFmtId="0" fontId="33" fillId="11" borderId="16" xfId="0" applyFont="1" applyFill="1" applyBorder="1" applyAlignment="1">
      <alignment horizontal="center" vertical="center"/>
    </xf>
    <xf numFmtId="0" fontId="20" fillId="0" borderId="17" xfId="0" applyFont="1" applyBorder="1" applyAlignment="1">
      <alignment vertical="center"/>
    </xf>
    <xf numFmtId="0" fontId="20" fillId="15" borderId="18" xfId="0" applyFont="1" applyFill="1" applyBorder="1" applyAlignment="1">
      <alignment horizontal="center" vertical="center" wrapText="1"/>
    </xf>
    <xf numFmtId="0" fontId="20" fillId="0" borderId="18" xfId="0" applyFont="1" applyBorder="1" applyAlignment="1">
      <alignment vertical="center"/>
    </xf>
    <xf numFmtId="0" fontId="20" fillId="0" borderId="19" xfId="0" applyFont="1" applyBorder="1" applyAlignment="1">
      <alignment vertical="center"/>
    </xf>
    <xf numFmtId="0" fontId="20" fillId="18" borderId="15" xfId="0" applyFont="1" applyFill="1" applyBorder="1" applyAlignment="1">
      <alignment horizontal="center" vertical="center" wrapText="1"/>
    </xf>
    <xf numFmtId="164" fontId="21" fillId="18" borderId="61" xfId="1" applyFont="1" applyFill="1" applyBorder="1" applyAlignment="1" applyProtection="1">
      <alignment vertical="center"/>
      <protection locked="0"/>
    </xf>
    <xf numFmtId="164" fontId="21" fillId="18" borderId="62" xfId="1" applyFont="1" applyFill="1" applyBorder="1" applyAlignment="1" applyProtection="1">
      <alignment vertical="center"/>
      <protection locked="0"/>
    </xf>
    <xf numFmtId="164" fontId="21" fillId="18" borderId="63" xfId="1" applyFont="1" applyFill="1" applyBorder="1" applyAlignment="1" applyProtection="1">
      <alignment vertical="center"/>
      <protection locked="0"/>
    </xf>
    <xf numFmtId="164" fontId="18" fillId="0" borderId="79" xfId="1" applyFont="1" applyFill="1" applyBorder="1" applyAlignment="1">
      <alignment horizontal="center" vertical="center"/>
    </xf>
    <xf numFmtId="0" fontId="0" fillId="0" borderId="78" xfId="0" applyNumberFormat="1" applyBorder="1" applyAlignment="1" applyProtection="1">
      <alignment horizontal="center"/>
    </xf>
    <xf numFmtId="164" fontId="49" fillId="0" borderId="2" xfId="1" applyFont="1" applyFill="1" applyBorder="1" applyAlignment="1">
      <alignment horizontal="center" vertical="center" wrapText="1"/>
    </xf>
    <xf numFmtId="164" fontId="50" fillId="0" borderId="2" xfId="1" applyFont="1" applyBorder="1" applyAlignment="1">
      <alignment horizontal="center" vertical="center"/>
    </xf>
    <xf numFmtId="0" fontId="11" fillId="0" borderId="2" xfId="0" applyFont="1" applyBorder="1" applyAlignment="1">
      <alignment horizontal="justify" vertical="center" wrapText="1"/>
    </xf>
    <xf numFmtId="0" fontId="66" fillId="0" borderId="2" xfId="0" applyFont="1" applyBorder="1" applyAlignment="1">
      <alignment vertical="center" wrapText="1"/>
    </xf>
    <xf numFmtId="0" fontId="81" fillId="0" borderId="0" xfId="0" applyFont="1"/>
    <xf numFmtId="0" fontId="0" fillId="0" borderId="57" xfId="0" applyBorder="1"/>
    <xf numFmtId="0" fontId="0" fillId="0" borderId="76" xfId="0" applyBorder="1"/>
    <xf numFmtId="0" fontId="24" fillId="0" borderId="0" xfId="0" applyFont="1"/>
    <xf numFmtId="0" fontId="24" fillId="0" borderId="0" xfId="0" applyFont="1" applyFill="1" applyBorder="1"/>
    <xf numFmtId="0" fontId="24" fillId="0" borderId="2" xfId="0" applyFont="1" applyBorder="1"/>
    <xf numFmtId="0" fontId="9" fillId="17" borderId="12" xfId="0" applyFont="1" applyFill="1" applyBorder="1" applyAlignment="1">
      <alignment horizontal="left" vertical="top" wrapText="1" indent="1"/>
    </xf>
    <xf numFmtId="0" fontId="9" fillId="17" borderId="10" xfId="0" applyFont="1" applyFill="1" applyBorder="1" applyAlignment="1">
      <alignment horizontal="left" vertical="top" wrapText="1" indent="1"/>
    </xf>
    <xf numFmtId="0" fontId="9" fillId="0" borderId="2" xfId="0" applyFont="1" applyBorder="1" applyAlignment="1">
      <alignment horizontal="left" vertical="center" wrapText="1"/>
    </xf>
    <xf numFmtId="0" fontId="23" fillId="0" borderId="0" xfId="0" applyFont="1" applyFill="1" applyBorder="1"/>
    <xf numFmtId="0" fontId="40" fillId="0" borderId="0" xfId="0" applyFont="1" applyFill="1"/>
    <xf numFmtId="0" fontId="0" fillId="0" borderId="0" xfId="0" applyFont="1" applyFill="1"/>
    <xf numFmtId="0" fontId="40" fillId="0" borderId="0" xfId="0" applyFont="1" applyFill="1" applyBorder="1"/>
    <xf numFmtId="0" fontId="82" fillId="0" borderId="5" xfId="0" applyFont="1" applyFill="1" applyBorder="1" applyAlignment="1">
      <alignment horizontal="left"/>
    </xf>
    <xf numFmtId="0" fontId="0" fillId="0" borderId="13" xfId="0" applyBorder="1"/>
    <xf numFmtId="0" fontId="8" fillId="0" borderId="25" xfId="0" applyFont="1" applyBorder="1" applyAlignment="1">
      <alignment horizontal="justify" vertical="top" wrapText="1"/>
    </xf>
    <xf numFmtId="0" fontId="49" fillId="12" borderId="2" xfId="0" applyFont="1" applyFill="1" applyBorder="1" applyAlignment="1">
      <alignment horizontal="center" vertical="center"/>
    </xf>
    <xf numFmtId="164" fontId="15" fillId="0" borderId="2" xfId="1" applyFont="1" applyBorder="1" applyAlignment="1">
      <alignment horizontal="center" vertical="center"/>
    </xf>
    <xf numFmtId="164" fontId="15" fillId="0" borderId="2" xfId="1" applyFont="1" applyFill="1" applyBorder="1" applyAlignment="1">
      <alignment horizontal="center" vertical="center"/>
    </xf>
    <xf numFmtId="0" fontId="0" fillId="12" borderId="2" xfId="0" applyFont="1" applyFill="1" applyBorder="1" applyAlignment="1">
      <alignment horizontal="center" vertical="center"/>
    </xf>
    <xf numFmtId="164" fontId="49" fillId="12" borderId="2" xfId="1" applyFont="1" applyFill="1" applyBorder="1" applyAlignment="1">
      <alignment horizontal="center" vertical="center"/>
    </xf>
    <xf numFmtId="0" fontId="0" fillId="0" borderId="2" xfId="0" applyFont="1" applyBorder="1"/>
    <xf numFmtId="0" fontId="49" fillId="12" borderId="5" xfId="0" applyFont="1" applyFill="1" applyBorder="1" applyAlignment="1">
      <alignment horizontal="center" vertical="center"/>
    </xf>
    <xf numFmtId="0" fontId="0" fillId="12" borderId="2" xfId="0" applyFont="1" applyFill="1" applyBorder="1"/>
    <xf numFmtId="164" fontId="49" fillId="0" borderId="5" xfId="1" applyFont="1" applyFill="1" applyBorder="1" applyAlignment="1">
      <alignment horizontal="center" vertical="center"/>
    </xf>
    <xf numFmtId="0" fontId="0" fillId="0" borderId="2" xfId="0" applyFont="1" applyFill="1" applyBorder="1"/>
    <xf numFmtId="164" fontId="49" fillId="12" borderId="5" xfId="1" applyFont="1" applyFill="1" applyBorder="1" applyAlignment="1">
      <alignment horizontal="center" vertical="center"/>
    </xf>
    <xf numFmtId="0" fontId="49" fillId="0" borderId="2" xfId="0" applyFont="1" applyBorder="1" applyAlignment="1">
      <alignment horizontal="center" vertical="center"/>
    </xf>
    <xf numFmtId="0" fontId="0" fillId="0" borderId="0" xfId="0"/>
    <xf numFmtId="0" fontId="0" fillId="0" borderId="0" xfId="0" applyFill="1"/>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30" fillId="0" borderId="0" xfId="0" applyFont="1" applyAlignment="1">
      <alignment vertical="center" wrapText="1"/>
    </xf>
    <xf numFmtId="0" fontId="49" fillId="0" borderId="2" xfId="0" applyFont="1" applyBorder="1" applyAlignment="1">
      <alignment horizontal="center" vertical="center"/>
    </xf>
    <xf numFmtId="164" fontId="49" fillId="0" borderId="2" xfId="1" applyFont="1" applyBorder="1" applyAlignment="1">
      <alignment horizontal="center" vertical="center"/>
    </xf>
    <xf numFmtId="164" fontId="49" fillId="0" borderId="2" xfId="1" applyFont="1" applyFill="1" applyBorder="1" applyAlignment="1">
      <alignment horizontal="center" vertical="center"/>
    </xf>
    <xf numFmtId="0" fontId="29" fillId="15" borderId="7" xfId="0" applyFont="1" applyFill="1" applyBorder="1" applyAlignment="1">
      <alignment horizontal="left"/>
    </xf>
    <xf numFmtId="0" fontId="0" fillId="15" borderId="36" xfId="0" applyFill="1" applyBorder="1"/>
    <xf numFmtId="0" fontId="0" fillId="15" borderId="8" xfId="0" applyFill="1" applyBorder="1"/>
    <xf numFmtId="0" fontId="27" fillId="15" borderId="36" xfId="0" applyFont="1" applyFill="1" applyBorder="1" applyAlignment="1">
      <alignment vertical="center" wrapText="1"/>
    </xf>
    <xf numFmtId="0" fontId="27" fillId="15" borderId="8" xfId="0" applyFont="1" applyFill="1" applyBorder="1" applyAlignment="1">
      <alignment vertical="center" wrapText="1"/>
    </xf>
    <xf numFmtId="0" fontId="27" fillId="21" borderId="9" xfId="0" applyFont="1" applyFill="1" applyBorder="1" applyAlignment="1">
      <alignment vertical="center"/>
    </xf>
    <xf numFmtId="0" fontId="27" fillId="21" borderId="28" xfId="0" applyFont="1" applyFill="1" applyBorder="1" applyAlignment="1">
      <alignment vertical="center" wrapText="1"/>
    </xf>
    <xf numFmtId="0" fontId="27" fillId="21" borderId="10" xfId="0" applyFont="1" applyFill="1" applyBorder="1" applyAlignment="1">
      <alignment vertical="center" wrapText="1"/>
    </xf>
    <xf numFmtId="0" fontId="29" fillId="15" borderId="36" xfId="0" applyFont="1" applyFill="1" applyBorder="1" applyAlignment="1">
      <alignment vertical="center"/>
    </xf>
    <xf numFmtId="0" fontId="27" fillId="15" borderId="0" xfId="0" applyFont="1" applyFill="1" applyBorder="1" applyAlignment="1">
      <alignment vertical="center" wrapText="1"/>
    </xf>
    <xf numFmtId="166" fontId="70" fillId="15" borderId="0" xfId="0" applyNumberFormat="1" applyFont="1" applyFill="1" applyBorder="1" applyAlignment="1">
      <alignment vertical="center"/>
    </xf>
    <xf numFmtId="0" fontId="29" fillId="15" borderId="11" xfId="0" applyFont="1" applyFill="1" applyBorder="1" applyAlignment="1">
      <alignment horizontal="left"/>
    </xf>
    <xf numFmtId="0" fontId="29" fillId="15" borderId="0" xfId="0" applyFont="1" applyFill="1" applyBorder="1" applyAlignment="1">
      <alignment vertical="center" wrapText="1"/>
    </xf>
    <xf numFmtId="0" fontId="29" fillId="15" borderId="51" xfId="0" applyFont="1" applyFill="1" applyBorder="1" applyAlignment="1">
      <alignment vertical="center"/>
    </xf>
    <xf numFmtId="0" fontId="27" fillId="15" borderId="12" xfId="0" applyFont="1" applyFill="1" applyBorder="1" applyAlignment="1">
      <alignment vertical="center" wrapText="1"/>
    </xf>
    <xf numFmtId="0" fontId="70" fillId="15" borderId="11" xfId="0" applyFont="1" applyFill="1" applyBorder="1" applyAlignment="1">
      <alignment vertical="center" wrapText="1"/>
    </xf>
    <xf numFmtId="166" fontId="70" fillId="15" borderId="29" xfId="0" applyNumberFormat="1" applyFont="1" applyFill="1" applyBorder="1" applyAlignment="1">
      <alignment vertical="center"/>
    </xf>
    <xf numFmtId="166" fontId="70" fillId="21" borderId="30" xfId="0" applyNumberFormat="1" applyFont="1" applyFill="1" applyBorder="1" applyAlignment="1">
      <alignment vertical="center"/>
    </xf>
    <xf numFmtId="166" fontId="27" fillId="21" borderId="30" xfId="0" applyNumberFormat="1" applyFont="1" applyFill="1" applyBorder="1" applyAlignment="1">
      <alignment vertical="center" wrapText="1"/>
    </xf>
    <xf numFmtId="0" fontId="70" fillId="15" borderId="29" xfId="0" applyFont="1" applyFill="1" applyBorder="1" applyAlignment="1">
      <alignment vertical="center" wrapText="1"/>
    </xf>
    <xf numFmtId="0" fontId="29" fillId="15" borderId="11" xfId="0" applyFont="1" applyFill="1" applyBorder="1" applyAlignment="1">
      <alignment horizontal="left" vertical="center"/>
    </xf>
    <xf numFmtId="0" fontId="0" fillId="15" borderId="30" xfId="0" applyFill="1" applyBorder="1" applyAlignment="1">
      <alignment vertical="center"/>
    </xf>
    <xf numFmtId="0" fontId="29" fillId="15" borderId="29" xfId="0" applyFont="1" applyFill="1" applyBorder="1" applyAlignment="1">
      <alignment horizontal="left" vertical="center"/>
    </xf>
    <xf numFmtId="0" fontId="0" fillId="21" borderId="30" xfId="0" applyFill="1" applyBorder="1" applyAlignment="1">
      <alignment vertical="center"/>
    </xf>
    <xf numFmtId="164" fontId="70" fillId="21" borderId="30" xfId="1" applyFont="1" applyFill="1" applyBorder="1" applyAlignment="1">
      <alignment horizontal="left" vertical="center" wrapText="1"/>
    </xf>
    <xf numFmtId="0" fontId="0" fillId="0" borderId="0" xfId="0" applyProtection="1">
      <protection locked="0"/>
    </xf>
    <xf numFmtId="0" fontId="29" fillId="0" borderId="7" xfId="0" applyFont="1" applyBorder="1" applyAlignment="1" applyProtection="1">
      <alignment horizontal="left"/>
      <protection locked="0"/>
    </xf>
    <xf numFmtId="164" fontId="27" fillId="0" borderId="36" xfId="1" applyFont="1" applyFill="1" applyBorder="1" applyAlignment="1" applyProtection="1">
      <alignment horizontal="left" wrapText="1"/>
      <protection locked="0"/>
    </xf>
    <xf numFmtId="0" fontId="0" fillId="0" borderId="36" xfId="0" applyBorder="1" applyProtection="1">
      <protection locked="0"/>
    </xf>
    <xf numFmtId="0" fontId="29" fillId="0" borderId="36" xfId="0" applyFont="1" applyBorder="1" applyAlignment="1" applyProtection="1">
      <alignment vertical="center" wrapText="1"/>
      <protection locked="0"/>
    </xf>
    <xf numFmtId="0" fontId="0" fillId="0" borderId="8" xfId="0" applyBorder="1" applyProtection="1">
      <protection locked="0"/>
    </xf>
    <xf numFmtId="0" fontId="29" fillId="0" borderId="36" xfId="0" applyFont="1" applyBorder="1" applyAlignment="1" applyProtection="1">
      <alignment vertical="center"/>
      <protection locked="0"/>
    </xf>
    <xf numFmtId="0" fontId="27" fillId="0" borderId="36" xfId="0" applyFont="1" applyBorder="1" applyAlignment="1" applyProtection="1">
      <alignment vertical="center" wrapText="1"/>
      <protection locked="0"/>
    </xf>
    <xf numFmtId="0" fontId="27" fillId="0" borderId="8" xfId="0" applyFont="1" applyBorder="1" applyAlignment="1" applyProtection="1">
      <alignment vertical="center" wrapText="1"/>
      <protection locked="0"/>
    </xf>
    <xf numFmtId="0" fontId="29" fillId="0" borderId="11" xfId="0" applyFont="1" applyBorder="1" applyAlignment="1" applyProtection="1">
      <alignment horizontal="left"/>
      <protection locked="0"/>
    </xf>
    <xf numFmtId="164" fontId="71" fillId="0" borderId="0" xfId="1" applyFont="1" applyFill="1" applyBorder="1" applyAlignment="1" applyProtection="1">
      <alignment horizontal="left" wrapText="1"/>
      <protection locked="0"/>
    </xf>
    <xf numFmtId="164" fontId="27" fillId="0" borderId="0" xfId="1" applyFont="1" applyFill="1" applyBorder="1" applyAlignment="1" applyProtection="1">
      <alignment horizontal="left" wrapText="1"/>
      <protection locked="0"/>
    </xf>
    <xf numFmtId="0" fontId="0" fillId="0" borderId="0" xfId="0" applyBorder="1" applyProtection="1">
      <protection locked="0"/>
    </xf>
    <xf numFmtId="0" fontId="29" fillId="0" borderId="0" xfId="0" applyFont="1" applyBorder="1" applyAlignment="1" applyProtection="1">
      <alignment vertical="center" wrapText="1"/>
      <protection locked="0"/>
    </xf>
    <xf numFmtId="0" fontId="0" fillId="0" borderId="12" xfId="0" applyBorder="1" applyProtection="1">
      <protection locked="0"/>
    </xf>
    <xf numFmtId="0" fontId="29" fillId="0" borderId="0" xfId="0" applyFont="1" applyBorder="1" applyAlignment="1" applyProtection="1">
      <alignment vertical="center"/>
      <protection locked="0"/>
    </xf>
    <xf numFmtId="0" fontId="27" fillId="0" borderId="0" xfId="0" applyFont="1" applyBorder="1" applyAlignment="1" applyProtection="1">
      <alignment vertical="center" wrapText="1"/>
      <protection locked="0"/>
    </xf>
    <xf numFmtId="0" fontId="27" fillId="0" borderId="12" xfId="0" applyFont="1" applyBorder="1" applyAlignment="1" applyProtection="1">
      <alignment vertical="center" wrapText="1"/>
      <protection locked="0"/>
    </xf>
    <xf numFmtId="0" fontId="29" fillId="0" borderId="7" xfId="0" applyFont="1" applyBorder="1" applyAlignment="1" applyProtection="1">
      <alignment horizontal="left" vertical="center"/>
      <protection locked="0"/>
    </xf>
    <xf numFmtId="0" fontId="29" fillId="0" borderId="8" xfId="0" applyFont="1" applyBorder="1" applyAlignment="1" applyProtection="1">
      <alignment vertical="center" wrapText="1"/>
      <protection locked="0"/>
    </xf>
    <xf numFmtId="0" fontId="27" fillId="0" borderId="28" xfId="0" applyFont="1" applyBorder="1" applyAlignment="1" applyProtection="1">
      <alignment vertical="center" wrapText="1"/>
      <protection locked="0"/>
    </xf>
    <xf numFmtId="0" fontId="0" fillId="0" borderId="28" xfId="0" applyBorder="1" applyProtection="1">
      <protection locked="0"/>
    </xf>
    <xf numFmtId="0" fontId="29" fillId="0" borderId="28" xfId="0" applyFont="1" applyBorder="1" applyAlignment="1" applyProtection="1">
      <alignment vertical="center" wrapText="1"/>
      <protection locked="0"/>
    </xf>
    <xf numFmtId="0" fontId="29" fillId="0" borderId="10" xfId="0" applyFont="1" applyBorder="1" applyAlignment="1" applyProtection="1">
      <alignment vertical="center" wrapText="1"/>
      <protection locked="0"/>
    </xf>
    <xf numFmtId="0" fontId="27" fillId="0" borderId="0" xfId="0" applyFont="1" applyBorder="1" applyAlignment="1" applyProtection="1">
      <alignment horizontal="left"/>
      <protection locked="0"/>
    </xf>
    <xf numFmtId="0" fontId="29" fillId="0" borderId="0" xfId="0" applyFont="1" applyBorder="1" applyAlignment="1" applyProtection="1">
      <alignment horizontal="center" vertical="center" wrapText="1"/>
      <protection locked="0"/>
    </xf>
    <xf numFmtId="164" fontId="27" fillId="0" borderId="0" xfId="1" applyFont="1" applyBorder="1" applyAlignment="1" applyProtection="1">
      <alignment horizontal="left" vertical="center" wrapText="1"/>
      <protection locked="0"/>
    </xf>
    <xf numFmtId="0" fontId="27" fillId="0" borderId="0" xfId="0" applyFont="1" applyProtection="1">
      <protection locked="0"/>
    </xf>
    <xf numFmtId="0" fontId="29" fillId="0" borderId="9" xfId="0" applyFont="1" applyBorder="1" applyAlignment="1" applyProtection="1">
      <alignment horizontal="left"/>
      <protection locked="0"/>
    </xf>
    <xf numFmtId="0" fontId="86" fillId="0" borderId="2" xfId="0" applyFont="1" applyBorder="1" applyAlignment="1">
      <alignment horizontal="center" vertical="center"/>
    </xf>
    <xf numFmtId="0" fontId="86" fillId="0" borderId="5" xfId="0" applyFont="1" applyBorder="1" applyAlignment="1">
      <alignment horizontal="center" vertical="center"/>
    </xf>
    <xf numFmtId="0" fontId="87" fillId="0" borderId="7" xfId="0" applyFont="1" applyBorder="1" applyAlignment="1" applyProtection="1">
      <alignment horizontal="left"/>
      <protection locked="0"/>
    </xf>
    <xf numFmtId="0" fontId="88" fillId="0" borderId="36" xfId="83" applyFont="1" applyFill="1" applyBorder="1" applyAlignment="1" applyProtection="1">
      <alignment horizontal="left" wrapText="1"/>
      <protection locked="0"/>
    </xf>
    <xf numFmtId="0" fontId="87" fillId="0" borderId="36" xfId="0" applyFont="1" applyBorder="1" applyAlignment="1" applyProtection="1">
      <alignment vertical="center" wrapText="1"/>
      <protection locked="0"/>
    </xf>
    <xf numFmtId="0" fontId="87" fillId="0" borderId="36" xfId="0" applyFont="1" applyBorder="1" applyAlignment="1" applyProtection="1">
      <alignment vertical="center"/>
      <protection locked="0"/>
    </xf>
    <xf numFmtId="0" fontId="88" fillId="0" borderId="36" xfId="0" applyFont="1" applyBorder="1" applyAlignment="1" applyProtection="1">
      <alignment vertical="center" wrapText="1"/>
      <protection locked="0"/>
    </xf>
    <xf numFmtId="0" fontId="88" fillId="0" borderId="8" xfId="0" applyFont="1" applyBorder="1" applyAlignment="1" applyProtection="1">
      <alignment vertical="center" wrapText="1"/>
      <protection locked="0"/>
    </xf>
    <xf numFmtId="0" fontId="87" fillId="0" borderId="11" xfId="0" applyFont="1" applyBorder="1" applyAlignment="1" applyProtection="1">
      <alignment horizontal="left"/>
      <protection locked="0"/>
    </xf>
    <xf numFmtId="0" fontId="89" fillId="0" borderId="0" xfId="83" applyFont="1" applyFill="1" applyBorder="1" applyAlignment="1" applyProtection="1">
      <alignment horizontal="left" wrapText="1"/>
      <protection locked="0"/>
    </xf>
    <xf numFmtId="0" fontId="88" fillId="0" borderId="0" xfId="83" applyFont="1" applyFill="1" applyBorder="1" applyAlignment="1" applyProtection="1">
      <alignment horizontal="left" wrapText="1"/>
      <protection locked="0"/>
    </xf>
    <xf numFmtId="0" fontId="87" fillId="0" borderId="0" xfId="0" applyFont="1" applyBorder="1" applyAlignment="1" applyProtection="1">
      <alignment vertical="center" wrapText="1"/>
      <protection locked="0"/>
    </xf>
    <xf numFmtId="0" fontId="87" fillId="0" borderId="0" xfId="0" applyFont="1" applyBorder="1" applyAlignment="1" applyProtection="1">
      <alignment vertical="center"/>
      <protection locked="0"/>
    </xf>
    <xf numFmtId="0" fontId="88" fillId="0" borderId="0" xfId="0" applyFont="1" applyBorder="1" applyAlignment="1" applyProtection="1">
      <alignment vertical="center" wrapText="1"/>
      <protection locked="0"/>
    </xf>
    <xf numFmtId="0" fontId="88" fillId="0" borderId="12" xfId="0" applyFont="1" applyBorder="1" applyAlignment="1" applyProtection="1">
      <alignment vertical="center" wrapText="1"/>
      <protection locked="0"/>
    </xf>
    <xf numFmtId="0" fontId="87" fillId="0" borderId="7" xfId="0" applyFont="1" applyBorder="1" applyAlignment="1" applyProtection="1">
      <alignment horizontal="left" vertical="center"/>
      <protection locked="0"/>
    </xf>
    <xf numFmtId="0" fontId="87" fillId="0" borderId="8" xfId="0" applyFont="1" applyBorder="1" applyAlignment="1" applyProtection="1">
      <alignment vertical="center" wrapText="1"/>
      <protection locked="0"/>
    </xf>
    <xf numFmtId="0" fontId="87" fillId="0" borderId="9" xfId="0" applyFont="1" applyBorder="1" applyAlignment="1" applyProtection="1">
      <alignment horizontal="left"/>
      <protection locked="0"/>
    </xf>
    <xf numFmtId="0" fontId="88" fillId="0" borderId="28" xfId="0" applyFont="1" applyBorder="1" applyAlignment="1" applyProtection="1">
      <alignment vertical="center" wrapText="1"/>
      <protection locked="0"/>
    </xf>
    <xf numFmtId="0" fontId="87" fillId="0" borderId="28" xfId="0" applyFont="1" applyBorder="1" applyAlignment="1" applyProtection="1">
      <alignment vertical="center" wrapText="1"/>
      <protection locked="0"/>
    </xf>
    <xf numFmtId="0" fontId="87" fillId="0" borderId="10" xfId="0" applyFont="1" applyBorder="1" applyAlignment="1" applyProtection="1">
      <alignment vertical="center" wrapText="1"/>
      <protection locked="0"/>
    </xf>
    <xf numFmtId="0" fontId="88" fillId="0" borderId="0" xfId="0" applyFont="1" applyBorder="1" applyAlignment="1" applyProtection="1">
      <alignment horizontal="left"/>
      <protection locked="0"/>
    </xf>
    <xf numFmtId="0" fontId="87" fillId="0" borderId="0" xfId="0" applyFont="1" applyBorder="1" applyAlignment="1" applyProtection="1">
      <alignment horizontal="center" vertical="center" wrapText="1"/>
      <protection locked="0"/>
    </xf>
    <xf numFmtId="0" fontId="88" fillId="0" borderId="0" xfId="83" applyFont="1" applyFill="1" applyBorder="1" applyAlignment="1" applyProtection="1">
      <alignment horizontal="left" vertical="center" wrapText="1"/>
      <protection locked="0"/>
    </xf>
    <xf numFmtId="0" fontId="88" fillId="0" borderId="0" xfId="0" applyFont="1" applyProtection="1">
      <protection locked="0"/>
    </xf>
    <xf numFmtId="0" fontId="75" fillId="30" borderId="7" xfId="0" applyFont="1" applyFill="1" applyBorder="1" applyAlignment="1">
      <alignment horizontal="left"/>
    </xf>
    <xf numFmtId="0" fontId="0" fillId="30" borderId="36" xfId="0" applyFill="1" applyBorder="1"/>
    <xf numFmtId="0" fontId="0" fillId="30" borderId="8" xfId="0" applyFill="1" applyBorder="1"/>
    <xf numFmtId="0" fontId="75" fillId="30" borderId="36" xfId="0" applyFont="1" applyFill="1" applyBorder="1" applyAlignment="1">
      <alignment vertical="center"/>
    </xf>
    <xf numFmtId="0" fontId="60" fillId="30" borderId="36" xfId="0" applyFont="1" applyFill="1" applyBorder="1" applyAlignment="1">
      <alignment vertical="center" wrapText="1"/>
    </xf>
    <xf numFmtId="0" fontId="60" fillId="30" borderId="8" xfId="0" applyFont="1" applyFill="1" applyBorder="1" applyAlignment="1">
      <alignment vertical="center" wrapText="1"/>
    </xf>
    <xf numFmtId="0" fontId="60" fillId="31" borderId="9" xfId="0" applyFont="1" applyFill="1" applyBorder="1" applyAlignment="1">
      <alignment vertical="center"/>
    </xf>
    <xf numFmtId="0" fontId="60" fillId="31" borderId="28" xfId="0" applyFont="1" applyFill="1" applyBorder="1" applyAlignment="1">
      <alignment vertical="center" wrapText="1"/>
    </xf>
    <xf numFmtId="0" fontId="60" fillId="31" borderId="10" xfId="0" applyFont="1" applyFill="1" applyBorder="1" applyAlignment="1">
      <alignment vertical="center" wrapText="1"/>
    </xf>
    <xf numFmtId="0" fontId="60" fillId="30" borderId="0" xfId="0" applyFont="1" applyFill="1" applyBorder="1" applyAlignment="1">
      <alignment vertical="center" wrapText="1"/>
    </xf>
    <xf numFmtId="167" fontId="55" fillId="30" borderId="0" xfId="0" applyNumberFormat="1" applyFont="1" applyFill="1" applyBorder="1" applyAlignment="1">
      <alignment vertical="center"/>
    </xf>
    <xf numFmtId="0" fontId="75" fillId="30" borderId="11" xfId="0" applyFont="1" applyFill="1" applyBorder="1" applyAlignment="1">
      <alignment horizontal="left"/>
    </xf>
    <xf numFmtId="0" fontId="75" fillId="30" borderId="0" xfId="0" applyFont="1" applyFill="1" applyBorder="1" applyAlignment="1">
      <alignment vertical="center" wrapText="1"/>
    </xf>
    <xf numFmtId="0" fontId="75" fillId="30" borderId="51" xfId="0" applyFont="1" applyFill="1" applyBorder="1" applyAlignment="1">
      <alignment vertical="center"/>
    </xf>
    <xf numFmtId="0" fontId="60" fillId="30" borderId="12" xfId="0" applyFont="1" applyFill="1" applyBorder="1" applyAlignment="1">
      <alignment vertical="center" wrapText="1"/>
    </xf>
    <xf numFmtId="0" fontId="75" fillId="30" borderId="11" xfId="0" applyFont="1" applyFill="1" applyBorder="1" applyAlignment="1">
      <alignment horizontal="left" vertical="center"/>
    </xf>
    <xf numFmtId="0" fontId="55" fillId="30" borderId="11" xfId="0" applyFont="1" applyFill="1" applyBorder="1" applyAlignment="1">
      <alignment vertical="center" wrapText="1"/>
    </xf>
    <xf numFmtId="167" fontId="55" fillId="30" borderId="29" xfId="0" applyNumberFormat="1" applyFont="1" applyFill="1" applyBorder="1" applyAlignment="1">
      <alignment vertical="center"/>
    </xf>
    <xf numFmtId="167" fontId="55" fillId="31" borderId="30" xfId="0" applyNumberFormat="1" applyFont="1" applyFill="1" applyBorder="1" applyAlignment="1">
      <alignment vertical="center"/>
    </xf>
    <xf numFmtId="167" fontId="60" fillId="31" borderId="30" xfId="0" applyNumberFormat="1" applyFont="1" applyFill="1" applyBorder="1" applyAlignment="1">
      <alignment vertical="center" wrapText="1"/>
    </xf>
    <xf numFmtId="0" fontId="55" fillId="30" borderId="29" xfId="0" applyFont="1" applyFill="1" applyBorder="1" applyAlignment="1">
      <alignment vertical="center" wrapText="1"/>
    </xf>
    <xf numFmtId="0" fontId="0" fillId="30" borderId="30" xfId="0" applyFill="1" applyBorder="1" applyAlignment="1">
      <alignment vertical="center"/>
    </xf>
    <xf numFmtId="0" fontId="0" fillId="31" borderId="30" xfId="0" applyFill="1" applyBorder="1" applyAlignment="1">
      <alignment vertical="center"/>
    </xf>
    <xf numFmtId="0" fontId="75" fillId="30" borderId="29" xfId="0" applyFont="1" applyFill="1" applyBorder="1" applyAlignment="1">
      <alignment horizontal="left" vertical="center"/>
    </xf>
    <xf numFmtId="0" fontId="55" fillId="31" borderId="30" xfId="83" applyFont="1" applyFill="1" applyBorder="1" applyAlignment="1">
      <alignment horizontal="left" vertical="center" wrapText="1"/>
    </xf>
    <xf numFmtId="0" fontId="75" fillId="0" borderId="7" xfId="0" applyFont="1" applyBorder="1" applyAlignment="1" applyProtection="1">
      <alignment horizontal="left"/>
      <protection locked="0"/>
    </xf>
    <xf numFmtId="0" fontId="60" fillId="0" borderId="36" xfId="83" applyFont="1" applyBorder="1" applyAlignment="1" applyProtection="1">
      <alignment horizontal="left" wrapText="1"/>
      <protection locked="0"/>
    </xf>
    <xf numFmtId="0" fontId="75" fillId="0" borderId="36" xfId="0" applyFont="1" applyBorder="1" applyAlignment="1" applyProtection="1">
      <alignment vertical="center" wrapText="1"/>
      <protection locked="0"/>
    </xf>
    <xf numFmtId="0" fontId="75" fillId="0" borderId="36" xfId="0" applyFont="1" applyBorder="1" applyAlignment="1" applyProtection="1">
      <alignment vertical="center"/>
      <protection locked="0"/>
    </xf>
    <xf numFmtId="0" fontId="60" fillId="0" borderId="36" xfId="0" applyFont="1" applyBorder="1" applyAlignment="1" applyProtection="1">
      <alignment vertical="center" wrapText="1"/>
      <protection locked="0"/>
    </xf>
    <xf numFmtId="0" fontId="60" fillId="0" borderId="8" xfId="0" applyFont="1" applyBorder="1" applyAlignment="1" applyProtection="1">
      <alignment vertical="center" wrapText="1"/>
      <protection locked="0"/>
    </xf>
    <xf numFmtId="0" fontId="75" fillId="0" borderId="11" xfId="0" applyFont="1" applyBorder="1" applyAlignment="1" applyProtection="1">
      <alignment horizontal="left"/>
      <protection locked="0"/>
    </xf>
    <xf numFmtId="0" fontId="94" fillId="0" borderId="0" xfId="83" applyFont="1" applyBorder="1" applyAlignment="1" applyProtection="1">
      <alignment horizontal="left" wrapText="1"/>
      <protection locked="0"/>
    </xf>
    <xf numFmtId="0" fontId="60" fillId="0" borderId="0" xfId="83" applyFont="1" applyBorder="1" applyAlignment="1" applyProtection="1">
      <alignment horizontal="left" wrapText="1"/>
      <protection locked="0"/>
    </xf>
    <xf numFmtId="0" fontId="75" fillId="0" borderId="0" xfId="0" applyFont="1" applyBorder="1" applyAlignment="1" applyProtection="1">
      <alignment vertical="center" wrapText="1"/>
      <protection locked="0"/>
    </xf>
    <xf numFmtId="0" fontId="75" fillId="0" borderId="0" xfId="0" applyFont="1" applyBorder="1" applyAlignment="1" applyProtection="1">
      <alignment vertical="center"/>
      <protection locked="0"/>
    </xf>
    <xf numFmtId="0" fontId="60" fillId="0" borderId="0" xfId="0" applyFont="1" applyBorder="1" applyAlignment="1" applyProtection="1">
      <alignment vertical="center" wrapText="1"/>
      <protection locked="0"/>
    </xf>
    <xf numFmtId="0" fontId="60" fillId="0" borderId="12" xfId="0" applyFont="1" applyBorder="1" applyAlignment="1" applyProtection="1">
      <alignment vertical="center" wrapText="1"/>
      <protection locked="0"/>
    </xf>
    <xf numFmtId="0" fontId="75" fillId="0" borderId="7" xfId="0" applyFont="1" applyBorder="1" applyAlignment="1" applyProtection="1">
      <alignment horizontal="left" vertical="center"/>
      <protection locked="0"/>
    </xf>
    <xf numFmtId="0" fontId="75" fillId="0" borderId="9" xfId="0" applyFont="1" applyBorder="1" applyAlignment="1" applyProtection="1">
      <alignment horizontal="left"/>
      <protection locked="0"/>
    </xf>
    <xf numFmtId="0" fontId="60" fillId="0" borderId="28" xfId="0" applyFont="1" applyBorder="1" applyAlignment="1" applyProtection="1">
      <alignment vertical="center" wrapText="1"/>
      <protection locked="0"/>
    </xf>
    <xf numFmtId="0" fontId="60" fillId="0" borderId="0" xfId="0" applyFont="1" applyBorder="1" applyAlignment="1" applyProtection="1">
      <alignment horizontal="left"/>
      <protection locked="0"/>
    </xf>
    <xf numFmtId="0" fontId="75" fillId="0" borderId="0" xfId="0" applyFont="1" applyBorder="1" applyAlignment="1" applyProtection="1">
      <alignment horizontal="center" vertical="center" wrapText="1"/>
      <protection locked="0"/>
    </xf>
    <xf numFmtId="0" fontId="60" fillId="0" borderId="0" xfId="83" applyFont="1" applyBorder="1" applyAlignment="1" applyProtection="1">
      <alignment horizontal="left" vertical="center" wrapText="1"/>
      <protection locked="0"/>
    </xf>
    <xf numFmtId="0" fontId="60" fillId="0" borderId="0" xfId="0" applyFont="1" applyProtection="1">
      <protection locked="0"/>
    </xf>
    <xf numFmtId="0" fontId="103" fillId="12" borderId="2" xfId="0" applyFont="1" applyFill="1" applyBorder="1" applyAlignment="1">
      <alignment horizontal="center" vertical="center"/>
    </xf>
    <xf numFmtId="0" fontId="103" fillId="0" borderId="2" xfId="0" applyFont="1" applyFill="1" applyBorder="1" applyAlignment="1">
      <alignment horizontal="center" vertical="center"/>
    </xf>
    <xf numFmtId="0" fontId="103" fillId="0" borderId="2" xfId="0" applyFont="1" applyFill="1" applyBorder="1" applyAlignment="1">
      <alignment horizontal="center"/>
    </xf>
    <xf numFmtId="0" fontId="103" fillId="0" borderId="5" xfId="0" applyFont="1" applyFill="1" applyBorder="1" applyAlignment="1">
      <alignment horizontal="center"/>
    </xf>
    <xf numFmtId="0" fontId="103" fillId="0" borderId="2" xfId="0" applyFont="1" applyFill="1" applyBorder="1"/>
    <xf numFmtId="0" fontId="88" fillId="0" borderId="36" xfId="85" applyFont="1" applyBorder="1" applyAlignment="1" applyProtection="1">
      <alignment horizontal="left" wrapText="1"/>
      <protection locked="0"/>
    </xf>
    <xf numFmtId="0" fontId="89" fillId="0" borderId="0" xfId="85" applyFont="1" applyBorder="1" applyAlignment="1" applyProtection="1">
      <alignment horizontal="left" wrapText="1"/>
      <protection locked="0"/>
    </xf>
    <xf numFmtId="0" fontId="88" fillId="0" borderId="0" xfId="85" applyFont="1" applyBorder="1" applyAlignment="1" applyProtection="1">
      <alignment horizontal="left" wrapText="1"/>
      <protection locked="0"/>
    </xf>
    <xf numFmtId="0" fontId="88" fillId="0" borderId="0" xfId="85" applyFont="1" applyBorder="1" applyAlignment="1" applyProtection="1">
      <alignment horizontal="left" vertical="center" wrapText="1"/>
      <protection locked="0"/>
    </xf>
    <xf numFmtId="0" fontId="60" fillId="0" borderId="0" xfId="0" applyFont="1" applyAlignment="1">
      <alignment horizontal="left" vertical="center" wrapText="1"/>
    </xf>
    <xf numFmtId="0" fontId="20" fillId="0" borderId="0" xfId="0" applyFont="1" applyAlignment="1">
      <alignment horizontal="left" wrapText="1"/>
    </xf>
    <xf numFmtId="0" fontId="60" fillId="0" borderId="0" xfId="0" applyFont="1" applyAlignment="1">
      <alignment horizontal="left" wrapText="1"/>
    </xf>
    <xf numFmtId="0" fontId="75" fillId="0" borderId="0" xfId="0" applyFont="1" applyAlignment="1">
      <alignment horizontal="center" vertical="center" wrapText="1"/>
    </xf>
    <xf numFmtId="0" fontId="75" fillId="0" borderId="92" xfId="0" applyFont="1" applyBorder="1" applyAlignment="1">
      <alignment horizontal="left" wrapText="1"/>
    </xf>
    <xf numFmtId="0" fontId="60" fillId="0" borderId="93" xfId="0" applyFont="1" applyBorder="1" applyAlignment="1">
      <alignment horizontal="left" vertical="center" wrapText="1"/>
    </xf>
    <xf numFmtId="0" fontId="20" fillId="0" borderId="93" xfId="0" applyFont="1" applyBorder="1" applyAlignment="1">
      <alignment horizontal="left" wrapText="1"/>
    </xf>
    <xf numFmtId="0" fontId="75" fillId="0" borderId="93" xfId="0" applyFont="1" applyBorder="1" applyAlignment="1">
      <alignment horizontal="left" vertical="center" wrapText="1"/>
    </xf>
    <xf numFmtId="0" fontId="75" fillId="0" borderId="94" xfId="0" applyFont="1" applyBorder="1" applyAlignment="1">
      <alignment horizontal="left" vertical="center" wrapText="1"/>
    </xf>
    <xf numFmtId="0" fontId="27" fillId="0" borderId="28" xfId="0" applyFont="1" applyBorder="1" applyAlignment="1" applyProtection="1">
      <alignment vertical="center"/>
      <protection locked="0"/>
    </xf>
    <xf numFmtId="0" fontId="88" fillId="0" borderId="36" xfId="0" applyFont="1" applyBorder="1" applyAlignment="1" applyProtection="1">
      <alignment horizontal="center" vertical="center" wrapText="1"/>
      <protection locked="0"/>
    </xf>
    <xf numFmtId="0" fontId="87" fillId="0" borderId="9" xfId="0" applyFont="1" applyBorder="1" applyAlignment="1" applyProtection="1">
      <alignment horizontal="left" vertical="center"/>
      <protection locked="0"/>
    </xf>
    <xf numFmtId="0" fontId="88" fillId="0" borderId="28" xfId="0" applyFont="1" applyBorder="1" applyAlignment="1" applyProtection="1">
      <alignment horizontal="center" vertical="center" wrapText="1"/>
      <protection locked="0"/>
    </xf>
    <xf numFmtId="0" fontId="49" fillId="0" borderId="23" xfId="0" applyFont="1" applyBorder="1" applyAlignment="1">
      <alignment horizontal="center" vertical="center"/>
    </xf>
    <xf numFmtId="0" fontId="49" fillId="0" borderId="23" xfId="0" applyFont="1" applyFill="1" applyBorder="1" applyAlignment="1">
      <alignment horizontal="center" vertical="center"/>
    </xf>
    <xf numFmtId="0" fontId="49" fillId="0" borderId="48" xfId="0" applyFont="1" applyBorder="1" applyAlignment="1">
      <alignment horizontal="center" vertical="center"/>
    </xf>
    <xf numFmtId="0" fontId="86" fillId="0" borderId="2" xfId="83" applyFont="1" applyBorder="1" applyAlignment="1">
      <alignment horizontal="center" vertical="center"/>
    </xf>
    <xf numFmtId="0" fontId="86" fillId="0" borderId="5" xfId="83" applyFont="1" applyBorder="1" applyAlignment="1">
      <alignment horizontal="center" vertical="center"/>
    </xf>
    <xf numFmtId="0" fontId="88" fillId="0" borderId="0" xfId="83" applyFont="1" applyBorder="1" applyAlignment="1" applyProtection="1">
      <alignment horizontal="left" vertical="center" wrapText="1"/>
      <protection locked="0"/>
    </xf>
    <xf numFmtId="0" fontId="87" fillId="0" borderId="7" xfId="0" applyFont="1" applyBorder="1" applyAlignment="1" applyProtection="1">
      <alignment horizontal="left" vertical="center"/>
      <protection locked="0"/>
    </xf>
    <xf numFmtId="164" fontId="0" fillId="0" borderId="2" xfId="1" applyFont="1" applyFill="1" applyBorder="1" applyAlignment="1">
      <alignment horizontal="center" vertical="center"/>
    </xf>
    <xf numFmtId="164" fontId="0" fillId="0" borderId="2" xfId="1" applyFont="1" applyBorder="1" applyAlignment="1">
      <alignment horizontal="center" vertical="center"/>
    </xf>
    <xf numFmtId="164" fontId="49" fillId="23" borderId="5" xfId="1" applyFont="1" applyFill="1" applyBorder="1" applyAlignment="1">
      <alignment horizontal="center" vertical="top"/>
    </xf>
    <xf numFmtId="0" fontId="86" fillId="0" borderId="2" xfId="83" applyFont="1" applyBorder="1" applyAlignment="1">
      <alignment horizontal="center" vertical="top"/>
    </xf>
    <xf numFmtId="0" fontId="86" fillId="0" borderId="5" xfId="83" applyFont="1" applyBorder="1" applyAlignment="1">
      <alignment horizontal="center" vertical="top"/>
    </xf>
    <xf numFmtId="0" fontId="0" fillId="0" borderId="2" xfId="0" applyFont="1" applyBorder="1" applyAlignment="1">
      <alignment vertical="top"/>
    </xf>
    <xf numFmtId="0" fontId="58" fillId="0" borderId="2" xfId="0" applyFont="1" applyBorder="1" applyAlignment="1">
      <alignment horizontal="center" vertical="center"/>
    </xf>
    <xf numFmtId="0" fontId="58" fillId="0" borderId="5" xfId="0" applyFont="1" applyBorder="1" applyAlignment="1">
      <alignment horizontal="center" vertical="center"/>
    </xf>
    <xf numFmtId="0" fontId="103" fillId="0" borderId="2" xfId="83" applyFont="1" applyBorder="1" applyAlignment="1">
      <alignment horizontal="center" vertical="center" wrapText="1"/>
    </xf>
    <xf numFmtId="0" fontId="109" fillId="0" borderId="2" xfId="83" applyFont="1" applyBorder="1" applyAlignment="1">
      <alignment horizontal="center" vertical="center"/>
    </xf>
    <xf numFmtId="0" fontId="109" fillId="35" borderId="2" xfId="83" applyFont="1" applyFill="1" applyBorder="1" applyAlignment="1">
      <alignment horizontal="center" vertical="center"/>
    </xf>
    <xf numFmtId="0" fontId="109" fillId="0" borderId="5" xfId="83" applyFont="1" applyBorder="1" applyAlignment="1">
      <alignment horizontal="center" vertical="center"/>
    </xf>
    <xf numFmtId="0" fontId="103" fillId="0" borderId="2" xfId="0" applyFont="1" applyBorder="1"/>
    <xf numFmtId="0" fontId="88" fillId="0" borderId="36" xfId="83" applyFont="1" applyBorder="1" applyAlignment="1" applyProtection="1">
      <alignment horizontal="left" wrapText="1"/>
      <protection locked="0"/>
    </xf>
    <xf numFmtId="0" fontId="89" fillId="0" borderId="0" xfId="83" applyFont="1" applyBorder="1" applyAlignment="1" applyProtection="1">
      <alignment horizontal="left" wrapText="1"/>
      <protection locked="0"/>
    </xf>
    <xf numFmtId="0" fontId="88" fillId="0" borderId="0" xfId="83" applyFont="1" applyBorder="1" applyAlignment="1" applyProtection="1">
      <alignment horizontal="left" wrapText="1"/>
      <protection locked="0"/>
    </xf>
    <xf numFmtId="0" fontId="23" fillId="7" borderId="2" xfId="0" applyFont="1" applyFill="1" applyBorder="1" applyAlignment="1">
      <alignment wrapText="1"/>
    </xf>
    <xf numFmtId="0" fontId="19" fillId="32" borderId="83" xfId="0" applyFont="1" applyFill="1" applyBorder="1" applyAlignment="1">
      <alignment horizontal="left" wrapText="1"/>
    </xf>
    <xf numFmtId="164" fontId="50" fillId="8" borderId="26" xfId="1" applyFont="1" applyFill="1" applyBorder="1" applyAlignment="1">
      <alignment horizontal="left" wrapText="1"/>
    </xf>
    <xf numFmtId="164" fontId="50" fillId="8" borderId="27" xfId="1" applyFont="1" applyFill="1" applyBorder="1" applyAlignment="1">
      <alignment horizontal="left" wrapText="1"/>
    </xf>
    <xf numFmtId="0" fontId="23" fillId="21" borderId="2" xfId="0" applyFont="1" applyFill="1" applyBorder="1" applyAlignment="1">
      <alignment wrapText="1"/>
    </xf>
    <xf numFmtId="164" fontId="50" fillId="5" borderId="27" xfId="1" applyFont="1" applyFill="1" applyBorder="1" applyAlignment="1">
      <alignment horizontal="left" wrapText="1"/>
    </xf>
    <xf numFmtId="164" fontId="50" fillId="7" borderId="27" xfId="1" applyFont="1" applyFill="1" applyBorder="1" applyAlignment="1">
      <alignment horizontal="left" wrapText="1"/>
    </xf>
    <xf numFmtId="0" fontId="23" fillId="21" borderId="2" xfId="0" applyFont="1" applyFill="1" applyBorder="1" applyAlignment="1">
      <alignment vertical="center" wrapText="1"/>
    </xf>
    <xf numFmtId="0" fontId="82" fillId="21" borderId="2" xfId="0" applyFont="1" applyFill="1" applyBorder="1" applyAlignment="1">
      <alignment wrapText="1"/>
    </xf>
    <xf numFmtId="0" fontId="23" fillId="7" borderId="0" xfId="0" applyFont="1" applyFill="1"/>
    <xf numFmtId="0" fontId="23" fillId="21" borderId="0" xfId="0" applyFont="1" applyFill="1" applyAlignment="1">
      <alignment wrapText="1"/>
    </xf>
    <xf numFmtId="0" fontId="23" fillId="28" borderId="2" xfId="0" applyFont="1" applyFill="1" applyBorder="1" applyAlignment="1">
      <alignment vertical="center" wrapText="1"/>
    </xf>
    <xf numFmtId="0" fontId="23" fillId="27" borderId="2" xfId="0" applyFont="1" applyFill="1" applyBorder="1" applyAlignment="1">
      <alignment vertical="center" wrapText="1"/>
    </xf>
    <xf numFmtId="164" fontId="50" fillId="10" borderId="27" xfId="1" applyFont="1" applyFill="1" applyBorder="1" applyAlignment="1">
      <alignment horizontal="left" wrapText="1"/>
    </xf>
    <xf numFmtId="164" fontId="50" fillId="20" borderId="27" xfId="1" applyFont="1" applyFill="1" applyBorder="1" applyAlignment="1">
      <alignment horizontal="left" wrapText="1"/>
    </xf>
    <xf numFmtId="164" fontId="50" fillId="18" borderId="27" xfId="1" applyFont="1" applyFill="1" applyBorder="1" applyAlignment="1">
      <alignment horizontal="left" wrapText="1"/>
    </xf>
    <xf numFmtId="0" fontId="50" fillId="18" borderId="2" xfId="0" applyFont="1" applyFill="1" applyBorder="1" applyAlignment="1">
      <alignment wrapText="1"/>
    </xf>
    <xf numFmtId="0" fontId="113" fillId="33" borderId="2" xfId="83" applyFont="1" applyFill="1" applyBorder="1" applyAlignment="1">
      <alignment horizontal="left" wrapText="1"/>
    </xf>
    <xf numFmtId="0" fontId="50" fillId="12" borderId="2" xfId="0" applyFont="1" applyFill="1" applyBorder="1" applyAlignment="1">
      <alignment wrapText="1"/>
    </xf>
    <xf numFmtId="0" fontId="50" fillId="18" borderId="2" xfId="0" applyFont="1" applyFill="1" applyBorder="1" applyAlignment="1">
      <alignment horizontal="left" wrapText="1"/>
    </xf>
    <xf numFmtId="0" fontId="50" fillId="12" borderId="2" xfId="0" applyFont="1" applyFill="1" applyBorder="1" applyAlignment="1">
      <alignment horizontal="left" wrapText="1"/>
    </xf>
    <xf numFmtId="0" fontId="114" fillId="33" borderId="0" xfId="83" applyFont="1" applyFill="1" applyAlignment="1">
      <alignment vertical="top"/>
    </xf>
    <xf numFmtId="0" fontId="115" fillId="34" borderId="2" xfId="83" applyFont="1" applyFill="1" applyBorder="1" applyAlignment="1">
      <alignment horizontal="left" vertical="top" wrapText="1"/>
    </xf>
    <xf numFmtId="0" fontId="95" fillId="0" borderId="2" xfId="0" applyFont="1" applyBorder="1" applyAlignment="1">
      <alignment horizontal="center"/>
    </xf>
    <xf numFmtId="0" fontId="95" fillId="12" borderId="2" xfId="0" applyFont="1" applyFill="1" applyBorder="1" applyAlignment="1">
      <alignment horizontal="center"/>
    </xf>
    <xf numFmtId="164" fontId="95" fillId="12" borderId="2" xfId="1" applyFont="1" applyFill="1" applyBorder="1" applyAlignment="1">
      <alignment horizontal="center" vertical="center"/>
    </xf>
    <xf numFmtId="0" fontId="106" fillId="12" borderId="2" xfId="0" applyFont="1" applyFill="1" applyBorder="1" applyAlignment="1">
      <alignment horizontal="center" vertical="center"/>
    </xf>
    <xf numFmtId="0" fontId="95" fillId="12" borderId="2" xfId="0" applyFont="1" applyFill="1" applyBorder="1" applyAlignment="1">
      <alignment horizontal="center" vertical="center"/>
    </xf>
    <xf numFmtId="164" fontId="116" fillId="12" borderId="2" xfId="1" applyFont="1" applyFill="1" applyBorder="1" applyAlignment="1">
      <alignment horizontal="center" vertical="center"/>
    </xf>
    <xf numFmtId="0" fontId="115" fillId="35" borderId="2" xfId="83" applyFont="1" applyFill="1" applyBorder="1" applyAlignment="1">
      <alignment horizontal="center" vertical="center"/>
    </xf>
    <xf numFmtId="164" fontId="95" fillId="12" borderId="2" xfId="1" applyFont="1" applyFill="1" applyBorder="1" applyAlignment="1">
      <alignment horizontal="center" vertical="top"/>
    </xf>
    <xf numFmtId="164" fontId="49" fillId="0" borderId="13" xfId="1" applyFont="1" applyBorder="1" applyAlignment="1">
      <alignment horizontal="center" vertical="center"/>
    </xf>
    <xf numFmtId="164" fontId="49" fillId="0" borderId="23" xfId="1" applyFont="1" applyBorder="1" applyAlignment="1">
      <alignment horizontal="center" vertical="center"/>
    </xf>
    <xf numFmtId="164" fontId="49" fillId="0" borderId="23" xfId="1" applyFont="1" applyFill="1" applyBorder="1" applyAlignment="1">
      <alignment horizontal="center" vertical="center"/>
    </xf>
    <xf numFmtId="0" fontId="0" fillId="0" borderId="25" xfId="0" applyFont="1" applyBorder="1" applyAlignment="1">
      <alignment horizontal="center" vertical="center"/>
    </xf>
    <xf numFmtId="0" fontId="0" fillId="0" borderId="25" xfId="0" applyFont="1" applyFill="1" applyBorder="1" applyAlignment="1">
      <alignment horizontal="center" vertical="center"/>
    </xf>
    <xf numFmtId="0" fontId="49" fillId="0" borderId="25" xfId="0" applyFont="1" applyFill="1" applyBorder="1" applyAlignment="1">
      <alignment horizontal="center" vertical="center"/>
    </xf>
    <xf numFmtId="0" fontId="20" fillId="0" borderId="2" xfId="0" applyFont="1" applyBorder="1" applyAlignment="1">
      <alignment horizontal="center" vertical="center" wrapText="1"/>
    </xf>
    <xf numFmtId="0" fontId="60" fillId="0" borderId="2" xfId="0" applyFont="1" applyBorder="1" applyAlignment="1">
      <alignment horizontal="center" vertical="center" wrapText="1"/>
    </xf>
    <xf numFmtId="0" fontId="87" fillId="0" borderId="7" xfId="0" applyFont="1" applyBorder="1" applyAlignment="1" applyProtection="1">
      <alignment horizontal="left" vertical="center"/>
      <protection locked="0"/>
    </xf>
    <xf numFmtId="0" fontId="0" fillId="0" borderId="17" xfId="0" applyBorder="1" applyAlignment="1">
      <alignment horizontal="left"/>
    </xf>
    <xf numFmtId="0" fontId="0" fillId="0" borderId="18" xfId="0" applyBorder="1" applyAlignment="1">
      <alignment horizontal="left"/>
    </xf>
    <xf numFmtId="0" fontId="0" fillId="0" borderId="18" xfId="0" applyBorder="1" applyAlignment="1">
      <alignment horizontal="center"/>
    </xf>
    <xf numFmtId="0" fontId="0" fillId="0" borderId="19" xfId="0" applyBorder="1" applyAlignment="1">
      <alignment horizontal="center"/>
    </xf>
    <xf numFmtId="0" fontId="23" fillId="0" borderId="0" xfId="0" applyFont="1" applyBorder="1" applyAlignment="1">
      <alignment horizontal="center"/>
    </xf>
    <xf numFmtId="0" fontId="0" fillId="22" borderId="70" xfId="0" applyFill="1" applyBorder="1" applyAlignment="1">
      <alignment horizontal="center"/>
    </xf>
    <xf numFmtId="0" fontId="0" fillId="22" borderId="71" xfId="0" applyFill="1" applyBorder="1" applyAlignment="1">
      <alignment horizontal="center"/>
    </xf>
    <xf numFmtId="0" fontId="0" fillId="22" borderId="72" xfId="0" applyFill="1" applyBorder="1" applyAlignment="1">
      <alignment horizontal="center"/>
    </xf>
    <xf numFmtId="0" fontId="0" fillId="22" borderId="5" xfId="0" applyFill="1" applyBorder="1" applyAlignment="1">
      <alignment horizontal="center"/>
    </xf>
    <xf numFmtId="0" fontId="0" fillId="22" borderId="20" xfId="0" applyFill="1" applyBorder="1" applyAlignment="1">
      <alignment horizontal="center"/>
    </xf>
    <xf numFmtId="0" fontId="0" fillId="22" borderId="13" xfId="0" applyFill="1" applyBorder="1" applyAlignment="1">
      <alignment horizontal="center"/>
    </xf>
    <xf numFmtId="0" fontId="0" fillId="0" borderId="50" xfId="0" applyBorder="1" applyAlignment="1">
      <alignment horizontal="center"/>
    </xf>
    <xf numFmtId="0" fontId="0" fillId="0" borderId="49" xfId="0" applyBorder="1" applyAlignment="1">
      <alignment horizontal="center"/>
    </xf>
    <xf numFmtId="0" fontId="0" fillId="0" borderId="70" xfId="0" applyBorder="1" applyAlignment="1">
      <alignment horizontal="center"/>
    </xf>
    <xf numFmtId="0" fontId="0" fillId="0" borderId="68" xfId="0" applyBorder="1" applyAlignment="1">
      <alignment horizontal="center"/>
    </xf>
    <xf numFmtId="0" fontId="0" fillId="0" borderId="31" xfId="0" applyBorder="1" applyAlignment="1">
      <alignment horizontal="left"/>
    </xf>
    <xf numFmtId="0" fontId="0" fillId="0" borderId="69" xfId="0" applyBorder="1" applyAlignment="1">
      <alignment horizontal="left"/>
    </xf>
    <xf numFmtId="0" fontId="0" fillId="0" borderId="56" xfId="0" applyBorder="1" applyAlignment="1">
      <alignment horizontal="left"/>
    </xf>
    <xf numFmtId="0" fontId="0" fillId="0" borderId="37" xfId="0" applyBorder="1" applyAlignment="1">
      <alignment horizontal="left"/>
    </xf>
    <xf numFmtId="0" fontId="0" fillId="0" borderId="38" xfId="0" applyBorder="1" applyAlignment="1">
      <alignment horizontal="left"/>
    </xf>
    <xf numFmtId="0" fontId="0" fillId="0" borderId="15" xfId="0" applyBorder="1" applyAlignment="1">
      <alignment horizontal="left"/>
    </xf>
    <xf numFmtId="0" fontId="0" fillId="0" borderId="2" xfId="0" applyBorder="1" applyAlignment="1">
      <alignment horizontal="left"/>
    </xf>
    <xf numFmtId="0" fontId="0" fillId="0" borderId="16" xfId="0" applyBorder="1" applyAlignment="1">
      <alignment horizontal="left"/>
    </xf>
    <xf numFmtId="0" fontId="0" fillId="0" borderId="2" xfId="0" applyBorder="1" applyAlignment="1">
      <alignment horizontal="center"/>
    </xf>
    <xf numFmtId="0" fontId="0" fillId="0" borderId="16" xfId="0" applyBorder="1" applyAlignment="1">
      <alignment horizontal="center"/>
    </xf>
    <xf numFmtId="0" fontId="0" fillId="0" borderId="20" xfId="0" applyBorder="1" applyAlignment="1">
      <alignment horizontal="center"/>
    </xf>
    <xf numFmtId="0" fontId="0" fillId="0" borderId="52"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23" fillId="0" borderId="46" xfId="0" applyFont="1" applyBorder="1" applyAlignment="1">
      <alignment horizontal="center"/>
    </xf>
    <xf numFmtId="0" fontId="23" fillId="0" borderId="39" xfId="0" applyFont="1" applyBorder="1" applyAlignment="1">
      <alignment horizontal="center"/>
    </xf>
    <xf numFmtId="0" fontId="23" fillId="0" borderId="40" xfId="0" applyFont="1"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0" fillId="0" borderId="67" xfId="0" applyBorder="1" applyAlignment="1">
      <alignment horizontal="left"/>
    </xf>
    <xf numFmtId="0" fontId="0" fillId="0" borderId="68" xfId="0" applyBorder="1" applyAlignment="1">
      <alignment horizontal="left"/>
    </xf>
    <xf numFmtId="0" fontId="46" fillId="0" borderId="11" xfId="0" applyFont="1" applyBorder="1" applyAlignment="1">
      <alignment horizontal="center"/>
    </xf>
    <xf numFmtId="0" fontId="46" fillId="0" borderId="0" xfId="0" applyFont="1" applyBorder="1" applyAlignment="1">
      <alignment horizontal="center"/>
    </xf>
    <xf numFmtId="0" fontId="46" fillId="0" borderId="12" xfId="0" applyFont="1" applyBorder="1" applyAlignment="1">
      <alignment horizontal="center"/>
    </xf>
    <xf numFmtId="0" fontId="0" fillId="0" borderId="56" xfId="0" applyBorder="1" applyAlignment="1">
      <alignment horizontal="center"/>
    </xf>
    <xf numFmtId="0" fontId="0" fillId="0" borderId="69" xfId="0" applyBorder="1" applyAlignment="1">
      <alignment horizontal="center"/>
    </xf>
    <xf numFmtId="0" fontId="43" fillId="0" borderId="11" xfId="0" applyFont="1" applyBorder="1" applyAlignment="1">
      <alignment horizontal="center"/>
    </xf>
    <xf numFmtId="0" fontId="43" fillId="0" borderId="0" xfId="0" applyFont="1" applyBorder="1" applyAlignment="1">
      <alignment horizontal="center"/>
    </xf>
    <xf numFmtId="0" fontId="43" fillId="0" borderId="12" xfId="0" applyFont="1" applyBorder="1" applyAlignment="1">
      <alignment horizontal="center"/>
    </xf>
    <xf numFmtId="0" fontId="0" fillId="0" borderId="5" xfId="0" applyBorder="1" applyAlignment="1">
      <alignment horizontal="center"/>
    </xf>
    <xf numFmtId="0" fontId="0" fillId="0" borderId="43" xfId="0" applyBorder="1" applyAlignment="1">
      <alignment horizontal="left"/>
    </xf>
    <xf numFmtId="0" fontId="0" fillId="0" borderId="13" xfId="0" applyBorder="1" applyAlignment="1">
      <alignment horizontal="left"/>
    </xf>
    <xf numFmtId="0" fontId="0" fillId="0" borderId="13" xfId="0" applyBorder="1" applyAlignment="1">
      <alignment horizontal="center"/>
    </xf>
    <xf numFmtId="0" fontId="0" fillId="0" borderId="53" xfId="0" applyBorder="1" applyAlignment="1">
      <alignment horizontal="left"/>
    </xf>
    <xf numFmtId="0" fontId="0" fillId="0" borderId="54" xfId="0" applyBorder="1" applyAlignment="1">
      <alignment horizontal="left"/>
    </xf>
    <xf numFmtId="0" fontId="0" fillId="0" borderId="5" xfId="0" applyBorder="1" applyAlignment="1">
      <alignment horizontal="left"/>
    </xf>
    <xf numFmtId="0" fontId="0" fillId="0" borderId="20" xfId="0" applyBorder="1" applyAlignment="1">
      <alignment horizontal="left"/>
    </xf>
    <xf numFmtId="0" fontId="0" fillId="0" borderId="52" xfId="0" applyBorder="1" applyAlignment="1">
      <alignment horizontal="left"/>
    </xf>
    <xf numFmtId="0" fontId="0" fillId="0" borderId="9" xfId="0" applyBorder="1" applyAlignment="1">
      <alignment horizontal="center"/>
    </xf>
    <xf numFmtId="0" fontId="0" fillId="0" borderId="28" xfId="0" applyBorder="1" applyAlignment="1">
      <alignment horizontal="center"/>
    </xf>
    <xf numFmtId="0" fontId="0" fillId="0" borderId="10" xfId="0" applyBorder="1" applyAlignment="1">
      <alignment horizontal="center"/>
    </xf>
    <xf numFmtId="0" fontId="23" fillId="22" borderId="46" xfId="0" applyFont="1" applyFill="1" applyBorder="1" applyAlignment="1">
      <alignment horizontal="left"/>
    </xf>
    <xf numFmtId="0" fontId="23" fillId="22" borderId="39" xfId="0" applyFont="1" applyFill="1" applyBorder="1" applyAlignment="1">
      <alignment horizontal="left"/>
    </xf>
    <xf numFmtId="0" fontId="23" fillId="22" borderId="40" xfId="0" applyFont="1" applyFill="1" applyBorder="1" applyAlignment="1">
      <alignment horizontal="left"/>
    </xf>
    <xf numFmtId="0" fontId="23" fillId="14" borderId="46" xfId="0" applyFont="1" applyFill="1" applyBorder="1" applyAlignment="1">
      <alignment horizontal="center"/>
    </xf>
    <xf numFmtId="0" fontId="23" fillId="14" borderId="39" xfId="0" applyFont="1" applyFill="1" applyBorder="1" applyAlignment="1">
      <alignment horizontal="center"/>
    </xf>
    <xf numFmtId="0" fontId="23" fillId="14" borderId="40" xfId="0" applyFont="1" applyFill="1" applyBorder="1" applyAlignment="1">
      <alignment horizontal="center"/>
    </xf>
    <xf numFmtId="0" fontId="23" fillId="14" borderId="46" xfId="0" applyFont="1" applyFill="1" applyBorder="1" applyAlignment="1">
      <alignment horizontal="left"/>
    </xf>
    <xf numFmtId="0" fontId="23" fillId="14" borderId="39" xfId="0" applyFont="1" applyFill="1" applyBorder="1" applyAlignment="1">
      <alignment horizontal="left"/>
    </xf>
    <xf numFmtId="0" fontId="23" fillId="14" borderId="40" xfId="0" applyFont="1" applyFill="1" applyBorder="1" applyAlignment="1">
      <alignment horizontal="left"/>
    </xf>
    <xf numFmtId="0" fontId="23" fillId="15" borderId="46" xfId="0" applyFont="1" applyFill="1" applyBorder="1" applyAlignment="1">
      <alignment horizontal="left"/>
    </xf>
    <xf numFmtId="0" fontId="23" fillId="15" borderId="40" xfId="0" applyFont="1" applyFill="1" applyBorder="1" applyAlignment="1">
      <alignment horizontal="left"/>
    </xf>
    <xf numFmtId="0" fontId="32" fillId="17" borderId="47" xfId="0" applyFont="1" applyFill="1" applyBorder="1" applyAlignment="1">
      <alignment horizontal="center" vertical="top" wrapText="1"/>
    </xf>
    <xf numFmtId="0" fontId="32" fillId="17" borderId="45" xfId="0" applyFont="1" applyFill="1" applyBorder="1" applyAlignment="1">
      <alignment horizontal="center" vertical="top" wrapText="1"/>
    </xf>
    <xf numFmtId="0" fontId="32" fillId="17" borderId="44" xfId="0" applyFont="1" applyFill="1" applyBorder="1" applyAlignment="1">
      <alignment horizontal="center" vertical="top" wrapText="1"/>
    </xf>
    <xf numFmtId="0" fontId="36" fillId="17" borderId="47" xfId="0" applyFont="1" applyFill="1" applyBorder="1" applyAlignment="1">
      <alignment horizontal="center" vertical="top" wrapText="1"/>
    </xf>
    <xf numFmtId="0" fontId="36" fillId="17" borderId="45" xfId="0" applyFont="1" applyFill="1" applyBorder="1" applyAlignment="1">
      <alignment horizontal="center" vertical="top" wrapText="1"/>
    </xf>
    <xf numFmtId="0" fontId="36" fillId="17" borderId="44" xfId="0" applyFont="1" applyFill="1" applyBorder="1" applyAlignment="1">
      <alignment horizontal="center" vertical="top" wrapText="1"/>
    </xf>
    <xf numFmtId="0" fontId="33" fillId="17" borderId="45" xfId="0" applyFont="1" applyFill="1" applyBorder="1" applyAlignment="1">
      <alignment horizontal="center" vertical="top" wrapText="1"/>
    </xf>
    <xf numFmtId="0" fontId="33" fillId="17" borderId="44" xfId="0" applyFont="1" applyFill="1" applyBorder="1" applyAlignment="1">
      <alignment horizontal="center" vertical="top" wrapText="1"/>
    </xf>
    <xf numFmtId="0" fontId="0" fillId="11" borderId="23" xfId="0" applyFill="1" applyBorder="1" applyAlignment="1">
      <alignment horizontal="left" vertical="center"/>
    </xf>
    <xf numFmtId="0" fontId="0" fillId="11" borderId="24" xfId="0" applyFill="1" applyBorder="1" applyAlignment="1">
      <alignment horizontal="left" vertical="center"/>
    </xf>
    <xf numFmtId="0" fontId="0" fillId="11" borderId="25" xfId="0" applyFill="1" applyBorder="1" applyAlignment="1">
      <alignment horizontal="left" vertical="center"/>
    </xf>
    <xf numFmtId="0" fontId="14" fillId="0" borderId="23" xfId="0" applyFont="1" applyBorder="1" applyAlignment="1">
      <alignment horizontal="justify" vertical="top" wrapText="1"/>
    </xf>
    <xf numFmtId="0" fontId="14" fillId="0" borderId="24" xfId="0" applyFont="1" applyBorder="1" applyAlignment="1">
      <alignment horizontal="justify" vertical="top" wrapText="1"/>
    </xf>
    <xf numFmtId="0" fontId="14" fillId="0" borderId="25" xfId="0" applyFont="1" applyBorder="1" applyAlignment="1">
      <alignment horizontal="justify" vertical="top" wrapText="1"/>
    </xf>
    <xf numFmtId="0" fontId="23" fillId="0" borderId="31" xfId="0" applyFont="1" applyBorder="1" applyAlignment="1">
      <alignment horizontal="center" vertical="center"/>
    </xf>
    <xf numFmtId="0" fontId="23" fillId="0" borderId="37" xfId="0" applyFont="1" applyBorder="1" applyAlignment="1">
      <alignment horizontal="center" vertical="center"/>
    </xf>
    <xf numFmtId="0" fontId="23" fillId="0" borderId="38" xfId="0" applyFont="1" applyBorder="1" applyAlignment="1">
      <alignment horizontal="center" vertical="center"/>
    </xf>
    <xf numFmtId="0" fontId="19" fillId="0" borderId="53" xfId="0" applyFont="1" applyBorder="1" applyAlignment="1">
      <alignment horizontal="center" vertical="top" wrapText="1"/>
    </xf>
    <xf numFmtId="0" fontId="19" fillId="0" borderId="54" xfId="0" applyFont="1" applyBorder="1" applyAlignment="1">
      <alignment horizontal="center" vertical="top" wrapText="1"/>
    </xf>
    <xf numFmtId="0" fontId="19" fillId="0" borderId="55" xfId="0" applyFont="1" applyBorder="1" applyAlignment="1">
      <alignment horizontal="center" vertical="top" wrapText="1"/>
    </xf>
    <xf numFmtId="0" fontId="19" fillId="0" borderId="53" xfId="0" applyFont="1" applyBorder="1" applyAlignment="1">
      <alignment horizontal="center"/>
    </xf>
    <xf numFmtId="0" fontId="19" fillId="0" borderId="54" xfId="0" applyFont="1" applyBorder="1" applyAlignment="1">
      <alignment horizontal="center"/>
    </xf>
    <xf numFmtId="0" fontId="19" fillId="0" borderId="55" xfId="0" applyFont="1" applyBorder="1" applyAlignment="1">
      <alignment horizontal="center"/>
    </xf>
    <xf numFmtId="0" fontId="0" fillId="0" borderId="33" xfId="0" applyFont="1" applyBorder="1" applyAlignment="1">
      <alignment horizontal="left" vertical="top" wrapText="1"/>
    </xf>
    <xf numFmtId="0" fontId="0" fillId="0" borderId="32" xfId="0" applyFont="1" applyBorder="1" applyAlignment="1">
      <alignment horizontal="left" vertical="top" wrapText="1"/>
    </xf>
    <xf numFmtId="0" fontId="0" fillId="0" borderId="34" xfId="0" applyFont="1" applyBorder="1" applyAlignment="1">
      <alignment horizontal="left" vertical="top" wrapText="1"/>
    </xf>
    <xf numFmtId="0" fontId="0" fillId="0" borderId="11" xfId="0" applyFont="1" applyBorder="1" applyAlignment="1">
      <alignment horizontal="left" vertical="top" wrapText="1"/>
    </xf>
    <xf numFmtId="0" fontId="0" fillId="0" borderId="0" xfId="0" applyFont="1" applyBorder="1" applyAlignment="1">
      <alignment horizontal="left" vertical="top" wrapText="1"/>
    </xf>
    <xf numFmtId="0" fontId="0" fillId="0" borderId="12" xfId="0" applyFont="1" applyBorder="1" applyAlignment="1">
      <alignment horizontal="left" vertical="top" wrapText="1"/>
    </xf>
    <xf numFmtId="0" fontId="0" fillId="0" borderId="9" xfId="0" applyFont="1" applyBorder="1" applyAlignment="1">
      <alignment horizontal="left" vertical="top" wrapText="1"/>
    </xf>
    <xf numFmtId="0" fontId="0" fillId="0" borderId="28" xfId="0" applyFont="1" applyBorder="1" applyAlignment="1">
      <alignment horizontal="left" vertical="top" wrapText="1"/>
    </xf>
    <xf numFmtId="0" fontId="0" fillId="0" borderId="10" xfId="0" applyFont="1" applyBorder="1" applyAlignment="1">
      <alignment horizontal="left" vertical="top" wrapText="1"/>
    </xf>
    <xf numFmtId="0" fontId="0" fillId="0" borderId="9" xfId="0" applyBorder="1" applyAlignment="1"/>
    <xf numFmtId="0" fontId="0" fillId="0" borderId="28" xfId="0" applyBorder="1" applyAlignment="1"/>
    <xf numFmtId="0" fontId="0" fillId="0" borderId="10" xfId="0" applyBorder="1" applyAlignment="1"/>
    <xf numFmtId="0" fontId="0" fillId="15" borderId="23" xfId="0" applyFill="1" applyBorder="1" applyAlignment="1">
      <alignment horizontal="center" vertical="center"/>
    </xf>
    <xf numFmtId="0" fontId="0" fillId="15" borderId="24" xfId="0" applyFill="1" applyBorder="1" applyAlignment="1">
      <alignment horizontal="center" vertical="center"/>
    </xf>
    <xf numFmtId="0" fontId="0" fillId="15" borderId="25" xfId="0" applyFill="1" applyBorder="1" applyAlignment="1">
      <alignment horizontal="center" vertical="center"/>
    </xf>
    <xf numFmtId="0" fontId="0" fillId="14" borderId="23" xfId="0" applyFill="1" applyBorder="1" applyAlignment="1">
      <alignment vertical="center"/>
    </xf>
    <xf numFmtId="0" fontId="0" fillId="14" borderId="24" xfId="0" applyFill="1" applyBorder="1" applyAlignment="1">
      <alignment vertical="center"/>
    </xf>
    <xf numFmtId="0" fontId="0" fillId="14" borderId="25" xfId="0" applyFill="1" applyBorder="1" applyAlignment="1">
      <alignment vertical="center"/>
    </xf>
    <xf numFmtId="0" fontId="66" fillId="0" borderId="32" xfId="0" applyFont="1" applyBorder="1" applyAlignment="1">
      <alignment vertical="top" wrapText="1"/>
    </xf>
    <xf numFmtId="0" fontId="66" fillId="0" borderId="0" xfId="0" applyFont="1" applyBorder="1" applyAlignment="1">
      <alignment vertical="top" wrapText="1"/>
    </xf>
    <xf numFmtId="0" fontId="66" fillId="0" borderId="30" xfId="0" applyFont="1" applyBorder="1" applyAlignment="1">
      <alignment vertical="top" wrapText="1"/>
    </xf>
    <xf numFmtId="0" fontId="0" fillId="0" borderId="33" xfId="0" applyFont="1" applyBorder="1" applyAlignment="1">
      <alignment horizontal="left" vertical="center" wrapText="1"/>
    </xf>
    <xf numFmtId="0" fontId="0" fillId="0" borderId="32" xfId="0" applyFont="1" applyBorder="1" applyAlignment="1">
      <alignment horizontal="left" vertical="center" wrapText="1"/>
    </xf>
    <xf numFmtId="0" fontId="0" fillId="0" borderId="34" xfId="0" applyFont="1" applyBorder="1" applyAlignment="1">
      <alignment horizontal="left" vertical="center" wrapText="1"/>
    </xf>
    <xf numFmtId="0" fontId="0" fillId="0" borderId="9" xfId="0" applyFont="1" applyBorder="1" applyAlignment="1">
      <alignment horizontal="left" vertical="center" wrapText="1"/>
    </xf>
    <xf numFmtId="0" fontId="0" fillId="0" borderId="28" xfId="0" applyFont="1" applyBorder="1" applyAlignment="1">
      <alignment horizontal="left" vertical="center" wrapText="1"/>
    </xf>
    <xf numFmtId="0" fontId="0" fillId="0" borderId="10" xfId="0" applyFont="1" applyBorder="1" applyAlignment="1">
      <alignment horizontal="left" vertical="center" wrapText="1"/>
    </xf>
    <xf numFmtId="0" fontId="23" fillId="0" borderId="53" xfId="0" applyFont="1" applyBorder="1" applyAlignment="1">
      <alignment horizontal="center"/>
    </xf>
    <xf numFmtId="0" fontId="23" fillId="0" borderId="54" xfId="0" applyFont="1" applyBorder="1" applyAlignment="1">
      <alignment horizontal="center"/>
    </xf>
    <xf numFmtId="0" fontId="23" fillId="0" borderId="55" xfId="0" applyFont="1" applyBorder="1" applyAlignment="1">
      <alignment horizontal="center"/>
    </xf>
    <xf numFmtId="0" fontId="0" fillId="0" borderId="29" xfId="0" applyFont="1" applyBorder="1" applyAlignment="1">
      <alignment horizontal="left" vertical="center" wrapText="1"/>
    </xf>
    <xf numFmtId="0" fontId="0" fillId="0" borderId="30" xfId="0" applyFont="1" applyBorder="1" applyAlignment="1">
      <alignment horizontal="left" vertical="center" wrapText="1"/>
    </xf>
    <xf numFmtId="0" fontId="0" fillId="0" borderId="35" xfId="0" applyFont="1" applyBorder="1" applyAlignment="1">
      <alignment horizontal="left" vertical="center" wrapText="1"/>
    </xf>
    <xf numFmtId="0" fontId="32" fillId="18" borderId="5" xfId="0" applyFont="1" applyFill="1" applyBorder="1" applyAlignment="1">
      <alignment vertical="center"/>
    </xf>
    <xf numFmtId="0" fontId="0" fillId="0" borderId="20" xfId="0" applyBorder="1" applyAlignment="1"/>
    <xf numFmtId="0" fontId="0" fillId="0" borderId="13" xfId="0" applyBorder="1" applyAlignment="1"/>
    <xf numFmtId="0" fontId="39" fillId="14" borderId="20" xfId="0" applyFont="1" applyFill="1" applyBorder="1" applyAlignment="1">
      <alignment horizontal="left" vertical="top" wrapText="1"/>
    </xf>
    <xf numFmtId="0" fontId="0" fillId="0" borderId="20" xfId="0" applyBorder="1" applyAlignment="1">
      <alignment horizontal="left" vertical="top" wrapText="1"/>
    </xf>
    <xf numFmtId="0" fontId="0" fillId="0" borderId="13" xfId="0" applyBorder="1" applyAlignment="1">
      <alignment horizontal="left" vertical="top" wrapText="1"/>
    </xf>
    <xf numFmtId="0" fontId="41" fillId="17" borderId="46" xfId="0" applyFont="1" applyFill="1" applyBorder="1" applyAlignment="1">
      <alignment horizontal="center" vertical="center" wrapText="1"/>
    </xf>
    <xf numFmtId="0" fontId="41" fillId="17" borderId="40" xfId="0" applyFont="1" applyFill="1" applyBorder="1" applyAlignment="1">
      <alignment horizontal="center" vertical="center" wrapText="1"/>
    </xf>
    <xf numFmtId="0" fontId="0" fillId="21" borderId="2" xfId="0" applyFill="1" applyBorder="1" applyAlignment="1">
      <alignment horizontal="center" vertical="center"/>
    </xf>
    <xf numFmtId="0" fontId="69" fillId="0" borderId="0" xfId="0" applyFont="1" applyFill="1" applyBorder="1" applyAlignment="1">
      <alignment horizontal="center" vertical="top" wrapText="1"/>
    </xf>
    <xf numFmtId="0" fontId="69" fillId="12" borderId="46" xfId="0" applyFont="1" applyFill="1" applyBorder="1" applyAlignment="1">
      <alignment horizontal="center" vertical="top" wrapText="1"/>
    </xf>
    <xf numFmtId="0" fontId="69" fillId="12" borderId="40" xfId="0" applyFont="1" applyFill="1" applyBorder="1" applyAlignment="1">
      <alignment horizontal="center" vertical="top" wrapText="1"/>
    </xf>
    <xf numFmtId="0" fontId="52" fillId="0" borderId="7" xfId="0" applyFont="1" applyBorder="1" applyAlignment="1">
      <alignment horizontal="left" vertical="center" wrapText="1"/>
    </xf>
    <xf numFmtId="0" fontId="52" fillId="0" borderId="36" xfId="0" applyFont="1" applyBorder="1" applyAlignment="1">
      <alignment horizontal="left" vertical="center" wrapText="1"/>
    </xf>
    <xf numFmtId="0" fontId="52" fillId="0" borderId="8" xfId="0" applyFont="1" applyBorder="1" applyAlignment="1">
      <alignment horizontal="left" vertical="center" wrapText="1"/>
    </xf>
    <xf numFmtId="0" fontId="52" fillId="0" borderId="11" xfId="0" applyFont="1" applyBorder="1" applyAlignment="1">
      <alignment horizontal="left" vertical="center" wrapText="1"/>
    </xf>
    <xf numFmtId="0" fontId="52" fillId="0" borderId="0" xfId="0" applyFont="1" applyBorder="1" applyAlignment="1">
      <alignment horizontal="left" vertical="center" wrapText="1"/>
    </xf>
    <xf numFmtId="0" fontId="52" fillId="0" borderId="12" xfId="0" applyFont="1" applyBorder="1" applyAlignment="1">
      <alignment horizontal="left" vertical="center" wrapText="1"/>
    </xf>
    <xf numFmtId="0" fontId="52" fillId="0" borderId="9" xfId="0" applyFont="1" applyBorder="1" applyAlignment="1">
      <alignment horizontal="left" vertical="center" wrapText="1"/>
    </xf>
    <xf numFmtId="0" fontId="52" fillId="0" borderId="28" xfId="0" applyFont="1" applyBorder="1" applyAlignment="1">
      <alignment horizontal="left" vertical="center" wrapText="1"/>
    </xf>
    <xf numFmtId="0" fontId="52" fillId="0" borderId="10" xfId="0" applyFont="1" applyBorder="1" applyAlignment="1">
      <alignment horizontal="left" vertical="center" wrapText="1"/>
    </xf>
    <xf numFmtId="0" fontId="37" fillId="0" borderId="54" xfId="0" applyFont="1" applyBorder="1" applyAlignment="1">
      <alignment horizontal="left"/>
    </xf>
    <xf numFmtId="0" fontId="37" fillId="0" borderId="55" xfId="0" applyFont="1" applyBorder="1" applyAlignment="1">
      <alignment horizontal="left"/>
    </xf>
    <xf numFmtId="0" fontId="37" fillId="0" borderId="2" xfId="0" applyFont="1" applyBorder="1" applyAlignment="1">
      <alignment horizontal="left"/>
    </xf>
    <xf numFmtId="0" fontId="37" fillId="0" borderId="16" xfId="0" applyFont="1" applyBorder="1" applyAlignment="1">
      <alignment horizontal="left"/>
    </xf>
    <xf numFmtId="0" fontId="65" fillId="0" borderId="23" xfId="0" applyFont="1" applyBorder="1" applyAlignment="1">
      <alignment horizontal="left" vertical="center" wrapText="1"/>
    </xf>
    <xf numFmtId="0" fontId="65" fillId="0" borderId="25" xfId="0" applyFont="1" applyBorder="1" applyAlignment="1">
      <alignment horizontal="left" vertical="center" wrapText="1"/>
    </xf>
    <xf numFmtId="0" fontId="20" fillId="0" borderId="33" xfId="0" applyFont="1" applyBorder="1" applyAlignment="1">
      <alignment horizontal="left" vertical="top" wrapText="1"/>
    </xf>
    <xf numFmtId="0" fontId="20" fillId="0" borderId="32" xfId="0" applyFont="1" applyBorder="1" applyAlignment="1">
      <alignment horizontal="left" vertical="top" wrapText="1"/>
    </xf>
    <xf numFmtId="0" fontId="20" fillId="0" borderId="34" xfId="0" applyFont="1" applyBorder="1" applyAlignment="1">
      <alignment horizontal="left" vertical="top" wrapText="1"/>
    </xf>
    <xf numFmtId="0" fontId="20" fillId="0" borderId="11" xfId="0" applyFont="1" applyBorder="1" applyAlignment="1">
      <alignment horizontal="left" vertical="top" wrapText="1"/>
    </xf>
    <xf numFmtId="0" fontId="20" fillId="0" borderId="0" xfId="0" applyFont="1" applyBorder="1" applyAlignment="1">
      <alignment horizontal="left" vertical="top" wrapText="1"/>
    </xf>
    <xf numFmtId="0" fontId="20" fillId="0" borderId="12" xfId="0" applyFont="1" applyBorder="1" applyAlignment="1">
      <alignment horizontal="left" vertical="top" wrapText="1"/>
    </xf>
    <xf numFmtId="0" fontId="20" fillId="0" borderId="9" xfId="0" applyFont="1" applyBorder="1" applyAlignment="1">
      <alignment horizontal="left" vertical="top" wrapText="1"/>
    </xf>
    <xf numFmtId="0" fontId="20" fillId="0" borderId="28" xfId="0" applyFont="1" applyBorder="1" applyAlignment="1">
      <alignment horizontal="left" vertical="top" wrapText="1"/>
    </xf>
    <xf numFmtId="0" fontId="20" fillId="0" borderId="10" xfId="0" applyFont="1" applyBorder="1" applyAlignment="1">
      <alignment horizontal="left" vertical="top" wrapText="1"/>
    </xf>
    <xf numFmtId="0" fontId="65" fillId="0" borderId="23" xfId="0" applyFont="1" applyBorder="1" applyAlignment="1">
      <alignment horizontal="left" vertical="top" wrapText="1"/>
    </xf>
    <xf numFmtId="0" fontId="65" fillId="0" borderId="24" xfId="0" applyFont="1" applyBorder="1" applyAlignment="1">
      <alignment horizontal="left" vertical="top" wrapText="1"/>
    </xf>
    <xf numFmtId="0" fontId="65" fillId="0" borderId="25" xfId="0" applyFont="1" applyBorder="1" applyAlignment="1">
      <alignment horizontal="left" vertical="top" wrapText="1"/>
    </xf>
    <xf numFmtId="0" fontId="66" fillId="0" borderId="23" xfId="0" applyFont="1" applyBorder="1" applyAlignment="1">
      <alignment horizontal="left" vertical="top" wrapText="1"/>
    </xf>
    <xf numFmtId="0" fontId="66" fillId="0" borderId="25" xfId="0" applyFont="1" applyBorder="1" applyAlignment="1">
      <alignment horizontal="left" vertical="top" wrapText="1"/>
    </xf>
    <xf numFmtId="0" fontId="42" fillId="0" borderId="46" xfId="0" applyFont="1" applyBorder="1" applyAlignment="1">
      <alignment horizontal="center"/>
    </xf>
    <xf numFmtId="0" fontId="42" fillId="0" borderId="40" xfId="0" applyFont="1" applyBorder="1" applyAlignment="1">
      <alignment horizontal="center"/>
    </xf>
    <xf numFmtId="0" fontId="42" fillId="0" borderId="39" xfId="0" applyFont="1"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32" fillId="0" borderId="46" xfId="0" applyFont="1" applyBorder="1" applyAlignment="1">
      <alignment horizontal="center" vertical="top" wrapText="1"/>
    </xf>
    <xf numFmtId="0" fontId="32" fillId="0" borderId="39" xfId="0" applyFont="1" applyBorder="1" applyAlignment="1">
      <alignment horizontal="center" vertical="top" wrapText="1"/>
    </xf>
    <xf numFmtId="0" fontId="32" fillId="0" borderId="40" xfId="0" applyFont="1" applyBorder="1" applyAlignment="1">
      <alignment horizontal="center" vertical="top" wrapText="1"/>
    </xf>
    <xf numFmtId="0" fontId="41" fillId="17" borderId="46" xfId="0" applyFont="1" applyFill="1" applyBorder="1" applyAlignment="1">
      <alignment horizontal="center" vertical="top" wrapText="1"/>
    </xf>
    <xf numFmtId="0" fontId="41" fillId="17" borderId="40" xfId="0" applyFont="1" applyFill="1" applyBorder="1" applyAlignment="1">
      <alignment horizontal="center" vertical="top" wrapText="1"/>
    </xf>
    <xf numFmtId="164" fontId="50" fillId="7" borderId="2" xfId="1" applyFont="1" applyFill="1" applyBorder="1" applyAlignment="1">
      <alignment horizontal="left" vertical="center" wrapText="1"/>
    </xf>
    <xf numFmtId="164" fontId="50" fillId="5" borderId="2" xfId="1" applyFont="1" applyFill="1" applyBorder="1" applyAlignment="1">
      <alignment horizontal="left" vertical="center" wrapText="1"/>
    </xf>
    <xf numFmtId="0" fontId="49" fillId="5" borderId="2" xfId="0" applyFont="1" applyFill="1" applyBorder="1" applyAlignment="1">
      <alignment horizontal="left" vertical="center" wrapText="1"/>
    </xf>
    <xf numFmtId="0" fontId="49" fillId="7" borderId="2" xfId="0" applyFont="1" applyFill="1" applyBorder="1" applyAlignment="1">
      <alignment horizontal="left" vertical="center" wrapText="1"/>
    </xf>
    <xf numFmtId="0" fontId="49" fillId="22" borderId="5" xfId="0" applyFont="1" applyFill="1" applyBorder="1" applyAlignment="1">
      <alignment horizontal="center" wrapText="1"/>
    </xf>
    <xf numFmtId="0" fontId="49" fillId="22" borderId="20" xfId="0" applyFont="1" applyFill="1" applyBorder="1" applyAlignment="1">
      <alignment horizontal="center" wrapText="1"/>
    </xf>
    <xf numFmtId="164" fontId="110" fillId="20" borderId="2" xfId="1" applyFont="1" applyFill="1" applyBorder="1" applyAlignment="1">
      <alignment horizontal="center" vertical="center" wrapText="1"/>
    </xf>
    <xf numFmtId="0" fontId="110" fillId="18" borderId="2" xfId="0" applyFont="1" applyFill="1" applyBorder="1" applyAlignment="1">
      <alignment horizontal="center" vertical="center" wrapText="1"/>
    </xf>
    <xf numFmtId="164" fontId="50" fillId="8" borderId="23" xfId="1" applyFont="1" applyFill="1" applyBorder="1" applyAlignment="1">
      <alignment horizontal="left" vertical="center" wrapText="1"/>
    </xf>
    <xf numFmtId="164" fontId="50" fillId="8" borderId="24" xfId="1" applyFont="1" applyFill="1" applyBorder="1" applyAlignment="1">
      <alignment horizontal="left" vertical="center" wrapText="1"/>
    </xf>
    <xf numFmtId="164" fontId="50" fillId="8" borderId="25" xfId="1" applyFont="1" applyFill="1" applyBorder="1" applyAlignment="1">
      <alignment horizontal="left" vertical="center" wrapText="1"/>
    </xf>
    <xf numFmtId="164" fontId="50" fillId="10" borderId="2" xfId="1" applyFont="1" applyFill="1" applyBorder="1" applyAlignment="1">
      <alignment horizontal="left" vertical="center" wrapText="1"/>
    </xf>
    <xf numFmtId="0" fontId="49" fillId="10" borderId="2" xfId="0" applyFont="1" applyFill="1" applyBorder="1" applyAlignment="1">
      <alignment horizontal="left" vertical="center" wrapText="1"/>
    </xf>
    <xf numFmtId="0" fontId="50" fillId="12" borderId="2" xfId="0" applyFont="1" applyFill="1" applyBorder="1" applyAlignment="1">
      <alignment horizontal="left" vertical="center" wrapText="1"/>
    </xf>
    <xf numFmtId="0" fontId="112" fillId="12" borderId="23" xfId="0" applyFont="1" applyFill="1" applyBorder="1" applyAlignment="1">
      <alignment horizontal="left" vertical="center" wrapText="1"/>
    </xf>
    <xf numFmtId="0" fontId="112" fillId="12" borderId="24" xfId="0" applyFont="1" applyFill="1" applyBorder="1" applyAlignment="1">
      <alignment horizontal="left" vertical="center" wrapText="1"/>
    </xf>
    <xf numFmtId="164" fontId="110" fillId="18" borderId="2" xfId="1" applyFont="1" applyFill="1" applyBorder="1" applyAlignment="1">
      <alignment horizontal="center" vertical="center" wrapText="1"/>
    </xf>
    <xf numFmtId="0" fontId="111" fillId="18" borderId="2" xfId="0" applyFont="1" applyFill="1" applyBorder="1" applyAlignment="1">
      <alignment horizontal="center" vertical="center" wrapText="1"/>
    </xf>
    <xf numFmtId="43" fontId="110" fillId="20" borderId="23" xfId="84" applyFont="1" applyFill="1" applyBorder="1" applyAlignment="1">
      <alignment horizontal="center" vertical="center" wrapText="1"/>
    </xf>
    <xf numFmtId="43" fontId="110" fillId="20" borderId="24" xfId="84" applyFont="1" applyFill="1" applyBorder="1" applyAlignment="1">
      <alignment horizontal="center" vertical="center" wrapText="1"/>
    </xf>
    <xf numFmtId="43" fontId="110" fillId="20" borderId="25" xfId="84" applyFont="1" applyFill="1" applyBorder="1" applyAlignment="1">
      <alignment horizontal="center" vertical="center" wrapText="1"/>
    </xf>
    <xf numFmtId="164" fontId="110" fillId="20" borderId="23" xfId="1" applyFont="1" applyFill="1" applyBorder="1" applyAlignment="1">
      <alignment horizontal="center" vertical="center" wrapText="1"/>
    </xf>
    <xf numFmtId="164" fontId="110" fillId="20" borderId="24" xfId="1" applyFont="1" applyFill="1" applyBorder="1" applyAlignment="1">
      <alignment horizontal="center" vertical="center" wrapText="1"/>
    </xf>
    <xf numFmtId="164" fontId="110" fillId="20" borderId="25" xfId="1" applyFont="1" applyFill="1" applyBorder="1" applyAlignment="1">
      <alignment horizontal="center" vertical="center" wrapText="1"/>
    </xf>
    <xf numFmtId="164" fontId="19" fillId="0" borderId="64" xfId="1" applyFont="1" applyFill="1" applyBorder="1" applyAlignment="1">
      <alignment horizontal="center" vertical="center"/>
    </xf>
    <xf numFmtId="164" fontId="19" fillId="0" borderId="65" xfId="1" applyFont="1" applyFill="1" applyBorder="1" applyAlignment="1">
      <alignment horizontal="center" vertical="center"/>
    </xf>
    <xf numFmtId="164" fontId="19" fillId="0" borderId="66" xfId="1" applyFont="1" applyFill="1" applyBorder="1" applyAlignment="1">
      <alignment horizontal="center" vertical="center"/>
    </xf>
    <xf numFmtId="164" fontId="20" fillId="4" borderId="1" xfId="1" applyFont="1" applyFill="1" applyBorder="1" applyAlignment="1">
      <alignment horizontal="center" wrapText="1"/>
    </xf>
    <xf numFmtId="164" fontId="22" fillId="26" borderId="14" xfId="1" applyFont="1" applyFill="1" applyBorder="1" applyAlignment="1">
      <alignment horizontal="center" wrapText="1"/>
    </xf>
    <xf numFmtId="164" fontId="22" fillId="26" borderId="3" xfId="1" applyFont="1" applyFill="1" applyBorder="1" applyAlignment="1">
      <alignment horizontal="center" wrapText="1"/>
    </xf>
    <xf numFmtId="164" fontId="22" fillId="26" borderId="21" xfId="1" applyFont="1" applyFill="1" applyBorder="1" applyAlignment="1">
      <alignment horizontal="center" wrapText="1"/>
    </xf>
    <xf numFmtId="0" fontId="32" fillId="17" borderId="9" xfId="0" applyFont="1" applyFill="1" applyBorder="1" applyAlignment="1">
      <alignment horizontal="center" vertical="top" wrapText="1"/>
    </xf>
    <xf numFmtId="0" fontId="32" fillId="17" borderId="10" xfId="0" applyFont="1" applyFill="1" applyBorder="1" applyAlignment="1">
      <alignment horizontal="center" vertical="top" wrapText="1"/>
    </xf>
    <xf numFmtId="0" fontId="32" fillId="17" borderId="46" xfId="0" applyFont="1" applyFill="1" applyBorder="1" applyAlignment="1">
      <alignment horizontal="center" vertical="top" wrapText="1"/>
    </xf>
    <xf numFmtId="0" fontId="32" fillId="17" borderId="39" xfId="0" applyFont="1" applyFill="1" applyBorder="1" applyAlignment="1">
      <alignment horizontal="center" vertical="top" wrapText="1"/>
    </xf>
    <xf numFmtId="0" fontId="32" fillId="17" borderId="40" xfId="0" applyFont="1" applyFill="1" applyBorder="1" applyAlignment="1">
      <alignment horizontal="center" vertical="top" wrapText="1"/>
    </xf>
    <xf numFmtId="164" fontId="19" fillId="18" borderId="53" xfId="1" applyFont="1" applyFill="1" applyBorder="1" applyAlignment="1">
      <alignment horizontal="center" vertical="center" wrapText="1"/>
    </xf>
    <xf numFmtId="164" fontId="19" fillId="18" borderId="54" xfId="1" applyFont="1" applyFill="1" applyBorder="1" applyAlignment="1">
      <alignment horizontal="center" vertical="center" wrapText="1"/>
    </xf>
    <xf numFmtId="164" fontId="19" fillId="18" borderId="55" xfId="1" applyFont="1" applyFill="1" applyBorder="1" applyAlignment="1">
      <alignment horizontal="center" vertical="center" wrapText="1"/>
    </xf>
    <xf numFmtId="164" fontId="20" fillId="25" borderId="80" xfId="1" applyFont="1" applyFill="1" applyBorder="1" applyAlignment="1">
      <alignment horizontal="center" wrapText="1"/>
    </xf>
    <xf numFmtId="164" fontId="20" fillId="25" borderId="3" xfId="1" applyFont="1" applyFill="1" applyBorder="1" applyAlignment="1">
      <alignment horizontal="center" wrapText="1"/>
    </xf>
    <xf numFmtId="164" fontId="20" fillId="25" borderId="6" xfId="1" applyFont="1" applyFill="1" applyBorder="1" applyAlignment="1">
      <alignment horizontal="center" wrapText="1"/>
    </xf>
    <xf numFmtId="0" fontId="36" fillId="17" borderId="43" xfId="0" applyFont="1" applyFill="1" applyBorder="1" applyAlignment="1">
      <alignment horizontal="center" vertical="top" wrapText="1"/>
    </xf>
    <xf numFmtId="0" fontId="36" fillId="17" borderId="20" xfId="0" applyFont="1" applyFill="1" applyBorder="1" applyAlignment="1">
      <alignment horizontal="center" vertical="top" wrapText="1"/>
    </xf>
    <xf numFmtId="0" fontId="36" fillId="17" borderId="13" xfId="0" applyFont="1" applyFill="1" applyBorder="1" applyAlignment="1">
      <alignment horizontal="center" vertical="top" wrapText="1"/>
    </xf>
    <xf numFmtId="0" fontId="36" fillId="17" borderId="33" xfId="0" applyFont="1" applyFill="1" applyBorder="1" applyAlignment="1">
      <alignment horizontal="center" vertical="top" wrapText="1"/>
    </xf>
    <xf numFmtId="0" fontId="36" fillId="17" borderId="32" xfId="0" applyFont="1" applyFill="1" applyBorder="1" applyAlignment="1">
      <alignment horizontal="center" vertical="top" wrapText="1"/>
    </xf>
    <xf numFmtId="164" fontId="44" fillId="0" borderId="0" xfId="1" applyFont="1" applyFill="1" applyBorder="1" applyAlignment="1">
      <alignment horizontal="center" vertical="center" wrapText="1"/>
    </xf>
    <xf numFmtId="0" fontId="13" fillId="17" borderId="45" xfId="0" applyFont="1" applyFill="1" applyBorder="1" applyAlignment="1">
      <alignment horizontal="center" vertical="top" wrapText="1"/>
    </xf>
    <xf numFmtId="0" fontId="13" fillId="17" borderId="44" xfId="0" applyFont="1" applyFill="1" applyBorder="1" applyAlignment="1">
      <alignment horizontal="center" vertical="top" wrapText="1"/>
    </xf>
    <xf numFmtId="164" fontId="19" fillId="0" borderId="53" xfId="1" applyFont="1" applyBorder="1" applyAlignment="1">
      <alignment horizontal="center" vertical="center" wrapText="1"/>
    </xf>
    <xf numFmtId="164" fontId="19" fillId="0" borderId="54" xfId="1" applyFont="1" applyBorder="1" applyAlignment="1">
      <alignment horizontal="center" vertical="center" wrapText="1"/>
    </xf>
    <xf numFmtId="164" fontId="19" fillId="0" borderId="55" xfId="1" applyFont="1" applyBorder="1" applyAlignment="1">
      <alignment horizontal="center" vertical="center" wrapText="1"/>
    </xf>
    <xf numFmtId="164" fontId="19" fillId="4" borderId="1" xfId="1" applyFont="1" applyFill="1" applyBorder="1" applyAlignment="1">
      <alignment horizontal="center" wrapText="1"/>
    </xf>
    <xf numFmtId="0" fontId="29" fillId="0" borderId="5"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31" fillId="0" borderId="5" xfId="0" applyFont="1" applyBorder="1" applyAlignment="1" applyProtection="1">
      <alignment horizontal="left" vertical="center" wrapText="1"/>
      <protection locked="0"/>
    </xf>
    <xf numFmtId="0" fontId="31" fillId="0" borderId="20"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29" fillId="0" borderId="5" xfId="0" applyFont="1" applyBorder="1" applyAlignment="1" applyProtection="1">
      <alignment horizontal="left" vertical="center"/>
      <protection locked="0"/>
    </xf>
    <xf numFmtId="0" fontId="29" fillId="0" borderId="13" xfId="0" applyFont="1" applyBorder="1" applyAlignment="1" applyProtection="1">
      <alignment horizontal="left" vertical="center"/>
      <protection locked="0"/>
    </xf>
    <xf numFmtId="0" fontId="28" fillId="0" borderId="0" xfId="0" applyFont="1" applyBorder="1" applyAlignment="1" applyProtection="1">
      <alignment horizontal="center"/>
      <protection locked="0"/>
    </xf>
    <xf numFmtId="0" fontId="29" fillId="0" borderId="5" xfId="0" applyFont="1" applyBorder="1" applyAlignment="1" applyProtection="1">
      <alignment horizontal="center"/>
      <protection locked="0"/>
    </xf>
    <xf numFmtId="0" fontId="29" fillId="0" borderId="20" xfId="0" applyFont="1" applyBorder="1" applyAlignment="1" applyProtection="1">
      <alignment horizontal="center"/>
      <protection locked="0"/>
    </xf>
    <xf numFmtId="0" fontId="29" fillId="0" borderId="13" xfId="0" applyFont="1" applyBorder="1" applyAlignment="1" applyProtection="1">
      <alignment horizontal="center"/>
      <protection locked="0"/>
    </xf>
    <xf numFmtId="0" fontId="29" fillId="0" borderId="20" xfId="0" applyFont="1" applyBorder="1" applyAlignment="1" applyProtection="1">
      <alignment horizontal="left" vertical="center" wrapText="1"/>
      <protection locked="0"/>
    </xf>
    <xf numFmtId="0" fontId="60" fillId="0" borderId="11" xfId="0" applyFont="1" applyBorder="1" applyAlignment="1" applyProtection="1">
      <alignment horizontal="left" vertical="center" wrapText="1"/>
      <protection locked="0"/>
    </xf>
    <xf numFmtId="0" fontId="60" fillId="0" borderId="0" xfId="0" applyFont="1" applyBorder="1" applyAlignment="1" applyProtection="1">
      <alignment horizontal="left" vertical="center" wrapText="1"/>
      <protection locked="0"/>
    </xf>
    <xf numFmtId="0" fontId="60" fillId="0" borderId="12" xfId="0" applyFont="1" applyBorder="1" applyAlignment="1" applyProtection="1">
      <alignment horizontal="left" vertical="center" wrapText="1"/>
      <protection locked="0"/>
    </xf>
    <xf numFmtId="0" fontId="60" fillId="0" borderId="29" xfId="0" applyFont="1" applyBorder="1" applyAlignment="1" applyProtection="1">
      <alignment horizontal="left" vertical="center" wrapText="1"/>
      <protection locked="0"/>
    </xf>
    <xf numFmtId="0" fontId="60" fillId="0" borderId="30" xfId="0" applyFont="1" applyBorder="1" applyAlignment="1" applyProtection="1">
      <alignment horizontal="left" vertical="center" wrapText="1"/>
      <protection locked="0"/>
    </xf>
    <xf numFmtId="0" fontId="60" fillId="0" borderId="35" xfId="0" applyFont="1" applyBorder="1" applyAlignment="1" applyProtection="1">
      <alignment horizontal="left" vertical="center" wrapText="1"/>
      <protection locked="0"/>
    </xf>
    <xf numFmtId="0" fontId="27" fillId="0" borderId="1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12" xfId="0" applyFont="1" applyBorder="1" applyAlignment="1" applyProtection="1">
      <alignment horizontal="left" vertical="center" wrapText="1"/>
      <protection locked="0"/>
    </xf>
    <xf numFmtId="0" fontId="27" fillId="0" borderId="29" xfId="0" applyFont="1" applyBorder="1" applyAlignment="1" applyProtection="1">
      <alignment horizontal="left" vertical="center" wrapText="1"/>
      <protection locked="0"/>
    </xf>
    <xf numFmtId="0" fontId="27" fillId="0" borderId="30" xfId="0" applyFont="1" applyBorder="1" applyAlignment="1" applyProtection="1">
      <alignment horizontal="left" vertical="center" wrapText="1"/>
      <protection locked="0"/>
    </xf>
    <xf numFmtId="0" fontId="27" fillId="0" borderId="35" xfId="0" applyFont="1" applyBorder="1" applyAlignment="1" applyProtection="1">
      <alignment horizontal="left" vertical="center" wrapText="1"/>
      <protection locked="0"/>
    </xf>
    <xf numFmtId="0" fontId="27" fillId="0" borderId="9" xfId="0" applyFont="1" applyBorder="1" applyAlignment="1" applyProtection="1">
      <alignment horizontal="left" vertical="center" wrapText="1"/>
      <protection locked="0"/>
    </xf>
    <xf numFmtId="0" fontId="27" fillId="0" borderId="28" xfId="0" applyFont="1" applyBorder="1" applyAlignment="1" applyProtection="1">
      <alignment horizontal="left" vertical="center" wrapText="1"/>
      <protection locked="0"/>
    </xf>
    <xf numFmtId="0" fontId="27" fillId="0" borderId="10"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wrapText="1"/>
      <protection locked="0"/>
    </xf>
    <xf numFmtId="0" fontId="29" fillId="0" borderId="36" xfId="0" applyFont="1" applyFill="1" applyBorder="1" applyAlignment="1" applyProtection="1">
      <alignment horizontal="center" vertical="center" wrapText="1"/>
      <protection locked="0"/>
    </xf>
    <xf numFmtId="0" fontId="29" fillId="0" borderId="9" xfId="0" applyFont="1" applyFill="1" applyBorder="1" applyAlignment="1" applyProtection="1">
      <alignment horizontal="center" vertical="center" wrapText="1"/>
      <protection locked="0"/>
    </xf>
    <xf numFmtId="0" fontId="29" fillId="0" borderId="28" xfId="0" applyFont="1" applyFill="1" applyBorder="1" applyAlignment="1" applyProtection="1">
      <alignment horizontal="center" vertical="center" wrapText="1"/>
      <protection locked="0"/>
    </xf>
    <xf numFmtId="0" fontId="27" fillId="0" borderId="36" xfId="0" applyFont="1" applyBorder="1" applyAlignment="1" applyProtection="1">
      <alignment horizontal="left" vertical="center" wrapText="1"/>
      <protection locked="0"/>
    </xf>
    <xf numFmtId="0" fontId="27" fillId="0" borderId="8" xfId="0" applyFont="1" applyBorder="1" applyAlignment="1" applyProtection="1">
      <alignment horizontal="left" vertical="center" wrapText="1"/>
      <protection locked="0"/>
    </xf>
    <xf numFmtId="164" fontId="70" fillId="21" borderId="0" xfId="1" applyFont="1" applyFill="1" applyBorder="1" applyAlignment="1">
      <alignment horizontal="left" vertical="center" wrapText="1"/>
    </xf>
    <xf numFmtId="0" fontId="70" fillId="21" borderId="0" xfId="0" applyFont="1" applyFill="1" applyBorder="1" applyAlignment="1">
      <alignment horizontal="left" vertical="center" wrapText="1"/>
    </xf>
    <xf numFmtId="0" fontId="70" fillId="21" borderId="28" xfId="0" applyFont="1" applyFill="1" applyBorder="1" applyAlignment="1">
      <alignment horizontal="left" vertical="center" wrapText="1"/>
    </xf>
    <xf numFmtId="0" fontId="70" fillId="21" borderId="75" xfId="0" applyFont="1" applyFill="1" applyBorder="1" applyAlignment="1">
      <alignment horizontal="left" vertical="center" wrapText="1"/>
    </xf>
    <xf numFmtId="0" fontId="70" fillId="21" borderId="51" xfId="0" applyFont="1" applyFill="1" applyBorder="1" applyAlignment="1">
      <alignment horizontal="left" vertical="center" wrapText="1"/>
    </xf>
    <xf numFmtId="0" fontId="70" fillId="21" borderId="12" xfId="0" applyFont="1" applyFill="1" applyBorder="1" applyAlignment="1">
      <alignment horizontal="left" vertical="center" wrapText="1"/>
    </xf>
    <xf numFmtId="0" fontId="70" fillId="21" borderId="60" xfId="0" applyFont="1" applyFill="1" applyBorder="1" applyAlignment="1">
      <alignment horizontal="left" vertical="center" wrapText="1"/>
    </xf>
    <xf numFmtId="0" fontId="70" fillId="21" borderId="30" xfId="0" applyFont="1" applyFill="1" applyBorder="1" applyAlignment="1">
      <alignment horizontal="left" vertical="center" wrapText="1"/>
    </xf>
    <xf numFmtId="0" fontId="70" fillId="21" borderId="49" xfId="0" applyFont="1" applyFill="1" applyBorder="1" applyAlignment="1">
      <alignment horizontal="left" vertical="center" wrapText="1"/>
    </xf>
    <xf numFmtId="0" fontId="70" fillId="21" borderId="50" xfId="0" applyFont="1" applyFill="1" applyBorder="1" applyAlignment="1">
      <alignment horizontal="left" vertical="center" wrapText="1"/>
    </xf>
    <xf numFmtId="0" fontId="70" fillId="21" borderId="35" xfId="0" applyFont="1" applyFill="1" applyBorder="1" applyAlignment="1">
      <alignment horizontal="left" vertical="center" wrapText="1"/>
    </xf>
    <xf numFmtId="0" fontId="27" fillId="23" borderId="7" xfId="0" applyFont="1" applyFill="1" applyBorder="1" applyAlignment="1" applyProtection="1">
      <alignment horizontal="center" vertical="center"/>
      <protection locked="0"/>
    </xf>
    <xf numFmtId="0" fontId="27" fillId="23" borderId="9" xfId="0" applyFont="1" applyFill="1" applyBorder="1" applyAlignment="1" applyProtection="1">
      <alignment horizontal="center" vertical="center"/>
      <protection locked="0"/>
    </xf>
    <xf numFmtId="0" fontId="27" fillId="21" borderId="9" xfId="0" applyFont="1" applyFill="1" applyBorder="1" applyAlignment="1">
      <alignment horizontal="left" vertical="center" wrapText="1"/>
    </xf>
    <xf numFmtId="0" fontId="27" fillId="21" borderId="28" xfId="0" applyFont="1" applyFill="1" applyBorder="1" applyAlignment="1">
      <alignment horizontal="left" vertical="center" wrapText="1"/>
    </xf>
    <xf numFmtId="0" fontId="27" fillId="21" borderId="10" xfId="0" applyFont="1" applyFill="1" applyBorder="1" applyAlignment="1">
      <alignment horizontal="left" vertical="center" wrapText="1"/>
    </xf>
    <xf numFmtId="0" fontId="27" fillId="0" borderId="36" xfId="0" applyFont="1" applyBorder="1" applyAlignment="1" applyProtection="1">
      <alignment horizontal="center" vertical="center" wrapText="1"/>
      <protection locked="0"/>
    </xf>
    <xf numFmtId="0" fontId="27" fillId="0" borderId="8" xfId="0" applyFont="1" applyBorder="1" applyAlignment="1" applyProtection="1">
      <alignment horizontal="center" vertical="center" wrapText="1"/>
      <protection locked="0"/>
    </xf>
    <xf numFmtId="0" fontId="27" fillId="0" borderId="28"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164" fontId="27" fillId="0" borderId="28" xfId="1" applyFont="1" applyBorder="1" applyAlignment="1" applyProtection="1">
      <alignment horizontal="left" vertical="center" wrapText="1"/>
      <protection locked="0"/>
    </xf>
    <xf numFmtId="164" fontId="27" fillId="0" borderId="10" xfId="1" applyFont="1" applyBorder="1" applyAlignment="1" applyProtection="1">
      <alignment horizontal="left" vertical="center" wrapText="1"/>
      <protection locked="0"/>
    </xf>
    <xf numFmtId="0" fontId="88" fillId="0" borderId="81" xfId="0" applyFont="1" applyBorder="1" applyAlignment="1" applyProtection="1">
      <alignment horizontal="left" vertical="center" wrapText="1"/>
      <protection locked="0"/>
    </xf>
    <xf numFmtId="0" fontId="88" fillId="0" borderId="44" xfId="0" applyFont="1" applyBorder="1" applyAlignment="1" applyProtection="1">
      <alignment horizontal="left" vertical="center" wrapText="1"/>
      <protection locked="0"/>
    </xf>
    <xf numFmtId="0" fontId="87" fillId="0" borderId="46" xfId="0" applyFont="1" applyBorder="1" applyAlignment="1" applyProtection="1">
      <alignment horizontal="center" vertical="center" wrapText="1"/>
      <protection locked="0"/>
    </xf>
    <xf numFmtId="0" fontId="88" fillId="0" borderId="36" xfId="0" applyFont="1" applyBorder="1" applyAlignment="1" applyProtection="1">
      <alignment horizontal="left" vertical="center" wrapText="1"/>
      <protection locked="0"/>
    </xf>
    <xf numFmtId="0" fontId="88" fillId="0" borderId="8" xfId="0" applyFont="1" applyBorder="1" applyAlignment="1" applyProtection="1">
      <alignment horizontal="left" vertical="center" wrapText="1"/>
      <protection locked="0"/>
    </xf>
    <xf numFmtId="0" fontId="88" fillId="0" borderId="28" xfId="0" applyFont="1" applyBorder="1" applyAlignment="1" applyProtection="1">
      <alignment horizontal="left" vertical="center" wrapText="1"/>
      <protection locked="0"/>
    </xf>
    <xf numFmtId="0" fontId="88" fillId="0" borderId="10" xfId="83" applyFont="1" applyFill="1" applyBorder="1" applyAlignment="1" applyProtection="1">
      <alignment horizontal="left" vertical="center" wrapText="1"/>
      <protection locked="0"/>
    </xf>
    <xf numFmtId="0" fontId="90" fillId="0" borderId="0" xfId="0" applyFont="1" applyBorder="1" applyAlignment="1" applyProtection="1">
      <alignment horizontal="center"/>
      <protection locked="0"/>
    </xf>
    <xf numFmtId="0" fontId="87" fillId="0" borderId="2" xfId="0" applyFont="1" applyBorder="1" applyAlignment="1" applyProtection="1">
      <alignment horizontal="center"/>
      <protection locked="0"/>
    </xf>
    <xf numFmtId="0" fontId="87" fillId="0" borderId="13" xfId="0" applyFont="1" applyBorder="1" applyAlignment="1" applyProtection="1">
      <alignment horizontal="center"/>
      <protection locked="0"/>
    </xf>
    <xf numFmtId="0" fontId="87" fillId="0" borderId="5" xfId="0" applyFont="1" applyBorder="1" applyAlignment="1" applyProtection="1">
      <alignment horizontal="left" vertical="center" wrapText="1"/>
      <protection locked="0"/>
    </xf>
    <xf numFmtId="0" fontId="91" fillId="0" borderId="2" xfId="0" applyFont="1" applyBorder="1" applyAlignment="1" applyProtection="1">
      <alignment horizontal="left" vertical="center" wrapText="1"/>
      <protection locked="0"/>
    </xf>
    <xf numFmtId="0" fontId="91" fillId="0" borderId="13" xfId="0" applyFont="1" applyBorder="1" applyAlignment="1" applyProtection="1">
      <alignment horizontal="left" vertical="center" wrapText="1"/>
      <protection locked="0"/>
    </xf>
    <xf numFmtId="0" fontId="87" fillId="0" borderId="2" xfId="0" applyFont="1" applyBorder="1" applyAlignment="1" applyProtection="1">
      <alignment horizontal="left" vertical="center"/>
      <protection locked="0"/>
    </xf>
    <xf numFmtId="0" fontId="87" fillId="0" borderId="2" xfId="0" applyFont="1" applyBorder="1" applyAlignment="1" applyProtection="1">
      <alignment horizontal="left" vertical="center" wrapText="1"/>
      <protection locked="0"/>
    </xf>
    <xf numFmtId="0" fontId="75" fillId="0" borderId="2" xfId="0" applyFont="1" applyBorder="1" applyAlignment="1" applyProtection="1">
      <alignment horizontal="left" vertical="center"/>
      <protection locked="0"/>
    </xf>
    <xf numFmtId="0" fontId="102" fillId="0" borderId="2" xfId="0" applyFont="1" applyBorder="1" applyAlignment="1" applyProtection="1">
      <alignment horizontal="left" vertical="center" wrapText="1"/>
      <protection locked="0"/>
    </xf>
    <xf numFmtId="0" fontId="75" fillId="0" borderId="2" xfId="0" applyFont="1" applyBorder="1" applyAlignment="1" applyProtection="1">
      <alignment horizontal="left" vertical="center" wrapText="1"/>
      <protection locked="0"/>
    </xf>
    <xf numFmtId="0" fontId="60" fillId="0" borderId="2" xfId="0" applyFont="1" applyBorder="1" applyAlignment="1" applyProtection="1">
      <alignment horizontal="left" vertical="center" wrapText="1"/>
      <protection locked="0"/>
    </xf>
    <xf numFmtId="0" fontId="53" fillId="0" borderId="2" xfId="0" applyFont="1" applyBorder="1" applyAlignment="1" applyProtection="1">
      <alignment horizontal="left" vertical="center" wrapText="1"/>
      <protection locked="0"/>
    </xf>
    <xf numFmtId="0" fontId="75" fillId="0" borderId="2" xfId="0" applyFont="1" applyBorder="1" applyAlignment="1" applyProtection="1">
      <alignment horizontal="center"/>
      <protection locked="0"/>
    </xf>
    <xf numFmtId="0" fontId="75" fillId="0" borderId="13" xfId="0" applyFont="1" applyBorder="1" applyAlignment="1" applyProtection="1">
      <alignment horizontal="center"/>
      <protection locked="0"/>
    </xf>
    <xf numFmtId="0" fontId="93" fillId="0" borderId="2" xfId="0" applyFont="1" applyBorder="1" applyAlignment="1" applyProtection="1">
      <alignment horizontal="left" vertical="center" wrapText="1"/>
      <protection locked="0"/>
    </xf>
    <xf numFmtId="0" fontId="20" fillId="0" borderId="2" xfId="0" applyFont="1" applyBorder="1" applyAlignment="1" applyProtection="1">
      <alignment horizontal="left" vertical="center" wrapText="1"/>
      <protection locked="0"/>
    </xf>
    <xf numFmtId="0" fontId="75" fillId="0" borderId="5" xfId="0" applyFont="1" applyBorder="1" applyAlignment="1" applyProtection="1">
      <alignment horizontal="left" vertical="center" wrapText="1"/>
      <protection locked="0"/>
    </xf>
    <xf numFmtId="0" fontId="96" fillId="0" borderId="2" xfId="0" applyFont="1" applyBorder="1" applyAlignment="1" applyProtection="1">
      <alignment horizontal="left" vertical="center" wrapText="1"/>
      <protection locked="0"/>
    </xf>
    <xf numFmtId="0" fontId="97" fillId="0" borderId="13" xfId="0" applyFont="1" applyBorder="1" applyAlignment="1" applyProtection="1">
      <alignment horizontal="left" vertical="center" wrapText="1"/>
      <protection locked="0"/>
    </xf>
    <xf numFmtId="0" fontId="92" fillId="0" borderId="81" xfId="0" applyFont="1" applyBorder="1" applyAlignment="1" applyProtection="1">
      <alignment horizontal="left" vertical="center" wrapText="1"/>
      <protection locked="0"/>
    </xf>
    <xf numFmtId="0" fontId="60" fillId="0" borderId="81" xfId="0" applyFont="1" applyBorder="1" applyAlignment="1" applyProtection="1">
      <alignment horizontal="left" vertical="center" wrapText="1"/>
      <protection locked="0"/>
    </xf>
    <xf numFmtId="0" fontId="60" fillId="0" borderId="44" xfId="0" applyFont="1" applyBorder="1" applyAlignment="1" applyProtection="1">
      <alignment horizontal="left" vertical="center" wrapText="1"/>
      <protection locked="0"/>
    </xf>
    <xf numFmtId="0" fontId="20" fillId="0" borderId="44" xfId="0" applyFont="1" applyBorder="1" applyAlignment="1" applyProtection="1">
      <alignment horizontal="left" vertical="center" wrapText="1"/>
      <protection locked="0"/>
    </xf>
    <xf numFmtId="0" fontId="60" fillId="0" borderId="8" xfId="0" applyFont="1" applyBorder="1" applyAlignment="1" applyProtection="1">
      <alignment horizontal="center" vertical="center" wrapText="1"/>
      <protection locked="0"/>
    </xf>
    <xf numFmtId="0" fontId="75" fillId="0" borderId="46" xfId="0" applyFont="1" applyBorder="1" applyAlignment="1" applyProtection="1">
      <alignment horizontal="center" vertical="center" wrapText="1"/>
      <protection locked="0"/>
    </xf>
    <xf numFmtId="0" fontId="60" fillId="0" borderId="36" xfId="0" applyFont="1" applyBorder="1" applyAlignment="1" applyProtection="1">
      <alignment horizontal="center" vertical="center" wrapText="1"/>
      <protection locked="0"/>
    </xf>
    <xf numFmtId="0" fontId="60" fillId="0" borderId="10" xfId="0" applyFont="1" applyBorder="1" applyAlignment="1" applyProtection="1">
      <alignment horizontal="center" vertical="center" wrapText="1"/>
      <protection locked="0"/>
    </xf>
    <xf numFmtId="0" fontId="60" fillId="0" borderId="28" xfId="0" applyFont="1" applyBorder="1" applyAlignment="1" applyProtection="1">
      <alignment horizontal="left" vertical="center" wrapText="1"/>
      <protection locked="0"/>
    </xf>
    <xf numFmtId="0" fontId="60" fillId="0" borderId="10" xfId="83" applyFont="1" applyBorder="1" applyAlignment="1" applyProtection="1">
      <alignment horizontal="left" vertical="center" wrapText="1"/>
      <protection locked="0"/>
    </xf>
    <xf numFmtId="0" fontId="95" fillId="0" borderId="0" xfId="0" applyFont="1" applyBorder="1" applyAlignment="1" applyProtection="1">
      <alignment horizontal="center"/>
      <protection locked="0"/>
    </xf>
    <xf numFmtId="0" fontId="55" fillId="31" borderId="0" xfId="83" applyFont="1" applyFill="1" applyBorder="1" applyAlignment="1">
      <alignment horizontal="left" vertical="center" wrapText="1"/>
    </xf>
    <xf numFmtId="0" fontId="55" fillId="31" borderId="60" xfId="0" applyFont="1" applyFill="1" applyBorder="1" applyAlignment="1">
      <alignment horizontal="left" vertical="center" wrapText="1"/>
    </xf>
    <xf numFmtId="0" fontId="55" fillId="31" borderId="82" xfId="0" applyFont="1" applyFill="1" applyBorder="1" applyAlignment="1">
      <alignment horizontal="left" vertical="center" wrapText="1"/>
    </xf>
    <xf numFmtId="0" fontId="55" fillId="31" borderId="49" xfId="0" applyFont="1" applyFill="1" applyBorder="1" applyAlignment="1">
      <alignment horizontal="left" vertical="center" wrapText="1"/>
    </xf>
    <xf numFmtId="0" fontId="55" fillId="31" borderId="77" xfId="0" applyFont="1" applyFill="1" applyBorder="1" applyAlignment="1">
      <alignment horizontal="left" vertical="center" wrapText="1"/>
    </xf>
    <xf numFmtId="0" fontId="60" fillId="29" borderId="46" xfId="0" applyFont="1" applyFill="1" applyBorder="1" applyAlignment="1" applyProtection="1">
      <alignment horizontal="center" vertical="center"/>
      <protection locked="0"/>
    </xf>
    <xf numFmtId="0" fontId="60" fillId="31" borderId="44" xfId="0" applyFont="1" applyFill="1" applyBorder="1" applyAlignment="1">
      <alignment horizontal="left" vertical="center" wrapText="1"/>
    </xf>
    <xf numFmtId="0" fontId="88" fillId="0" borderId="8" xfId="0" applyFont="1" applyBorder="1" applyAlignment="1" applyProtection="1">
      <alignment horizontal="center" vertical="center" wrapText="1"/>
      <protection locked="0"/>
    </xf>
    <xf numFmtId="0" fontId="88" fillId="0" borderId="10" xfId="85" applyFont="1" applyBorder="1" applyAlignment="1" applyProtection="1">
      <alignment horizontal="left" vertical="center" wrapText="1"/>
      <protection locked="0"/>
    </xf>
    <xf numFmtId="0" fontId="88" fillId="0" borderId="10" xfId="0" applyFont="1" applyBorder="1" applyAlignment="1" applyProtection="1">
      <alignment horizontal="center" vertical="center" wrapText="1"/>
      <protection locked="0"/>
    </xf>
    <xf numFmtId="0" fontId="91" fillId="0" borderId="2" xfId="0" applyFont="1" applyBorder="1" applyAlignment="1" applyProtection="1">
      <alignment horizontal="left" vertical="top" wrapText="1"/>
      <protection locked="0"/>
    </xf>
    <xf numFmtId="0" fontId="95" fillId="0" borderId="0" xfId="0" applyFont="1" applyAlignment="1">
      <alignment horizontal="center" wrapText="1"/>
    </xf>
    <xf numFmtId="0" fontId="75" fillId="0" borderId="95" xfId="0" applyFont="1" applyBorder="1" applyAlignment="1">
      <alignment horizontal="center" wrapText="1"/>
    </xf>
    <xf numFmtId="0" fontId="75" fillId="0" borderId="96" xfId="0" applyFont="1" applyBorder="1" applyAlignment="1">
      <alignment horizontal="center" wrapText="1"/>
    </xf>
    <xf numFmtId="0" fontId="75" fillId="0" borderId="97" xfId="0" applyFont="1" applyBorder="1" applyAlignment="1">
      <alignment horizontal="center" wrapText="1"/>
    </xf>
    <xf numFmtId="0" fontId="75" fillId="0" borderId="95" xfId="0" applyFont="1" applyBorder="1" applyAlignment="1">
      <alignment horizontal="left" vertical="center" wrapText="1"/>
    </xf>
    <xf numFmtId="0" fontId="75" fillId="0" borderId="97" xfId="0" applyFont="1" applyBorder="1" applyAlignment="1">
      <alignment horizontal="left" vertical="center" wrapText="1"/>
    </xf>
    <xf numFmtId="0" fontId="60" fillId="0" borderId="95" xfId="0" applyFont="1" applyBorder="1" applyAlignment="1">
      <alignment horizontal="left" vertical="center" wrapText="1"/>
    </xf>
    <xf numFmtId="0" fontId="60" fillId="0" borderId="96" xfId="0" applyFont="1" applyBorder="1" applyAlignment="1">
      <alignment horizontal="left" vertical="center" wrapText="1"/>
    </xf>
    <xf numFmtId="0" fontId="60" fillId="0" borderId="97" xfId="0" applyFont="1" applyBorder="1" applyAlignment="1">
      <alignment horizontal="left" vertical="center" wrapText="1"/>
    </xf>
    <xf numFmtId="0" fontId="75" fillId="0" borderId="84" xfId="0" applyFont="1" applyBorder="1" applyAlignment="1">
      <alignment horizontal="left" wrapText="1"/>
    </xf>
    <xf numFmtId="0" fontId="75" fillId="0" borderId="85" xfId="0" applyFont="1" applyBorder="1" applyAlignment="1">
      <alignment horizontal="left" wrapText="1"/>
    </xf>
    <xf numFmtId="0" fontId="75" fillId="0" borderId="86" xfId="0" applyFont="1" applyBorder="1" applyAlignment="1">
      <alignment horizontal="left" wrapText="1"/>
    </xf>
    <xf numFmtId="0" fontId="75" fillId="0" borderId="84" xfId="0" applyFont="1" applyBorder="1" applyAlignment="1">
      <alignment horizontal="left" vertical="center" wrapText="1"/>
    </xf>
    <xf numFmtId="0" fontId="75" fillId="0" borderId="85" xfId="0" applyFont="1" applyBorder="1" applyAlignment="1">
      <alignment horizontal="left" vertical="center" wrapText="1"/>
    </xf>
    <xf numFmtId="0" fontId="75" fillId="0" borderId="86" xfId="0" applyFont="1" applyBorder="1" applyAlignment="1">
      <alignment horizontal="left" vertical="center" wrapText="1"/>
    </xf>
    <xf numFmtId="0" fontId="75" fillId="0" borderId="98" xfId="0" applyFont="1" applyBorder="1" applyAlignment="1">
      <alignment horizontal="left" wrapText="1"/>
    </xf>
    <xf numFmtId="0" fontId="75" fillId="0" borderId="99" xfId="0" applyFont="1" applyBorder="1" applyAlignment="1">
      <alignment horizontal="left" wrapText="1"/>
    </xf>
    <xf numFmtId="0" fontId="75" fillId="0" borderId="100" xfId="0" applyFont="1" applyBorder="1" applyAlignment="1">
      <alignment horizontal="left" wrapText="1"/>
    </xf>
    <xf numFmtId="0" fontId="75" fillId="0" borderId="98" xfId="0" applyFont="1" applyBorder="1" applyAlignment="1">
      <alignment horizontal="left" vertical="center" wrapText="1"/>
    </xf>
    <xf numFmtId="0" fontId="75" fillId="0" borderId="99" xfId="0" applyFont="1" applyBorder="1" applyAlignment="1">
      <alignment horizontal="left" vertical="center" wrapText="1"/>
    </xf>
    <xf numFmtId="0" fontId="75" fillId="0" borderId="100" xfId="0" applyFont="1" applyBorder="1" applyAlignment="1">
      <alignment horizontal="left" vertical="center" wrapText="1"/>
    </xf>
    <xf numFmtId="0" fontId="60" fillId="0" borderId="87" xfId="0" applyFont="1" applyBorder="1" applyAlignment="1">
      <alignment horizontal="left" vertical="center" wrapText="1"/>
    </xf>
    <xf numFmtId="0" fontId="60" fillId="0" borderId="0" xfId="0" applyFont="1" applyBorder="1" applyAlignment="1">
      <alignment horizontal="left" vertical="center" wrapText="1"/>
    </xf>
    <xf numFmtId="0" fontId="60" fillId="0" borderId="88" xfId="0" applyFont="1" applyBorder="1" applyAlignment="1">
      <alignment horizontal="left" vertical="center" wrapText="1"/>
    </xf>
    <xf numFmtId="0" fontId="60" fillId="0" borderId="89" xfId="0" applyFont="1" applyBorder="1" applyAlignment="1">
      <alignment horizontal="left" vertical="center" wrapText="1"/>
    </xf>
    <xf numFmtId="0" fontId="60" fillId="0" borderId="90" xfId="0" applyFont="1" applyBorder="1" applyAlignment="1">
      <alignment horizontal="left" vertical="center" wrapText="1"/>
    </xf>
    <xf numFmtId="0" fontId="60" fillId="0" borderId="91" xfId="0" applyFont="1" applyBorder="1" applyAlignment="1">
      <alignment horizontal="left" vertical="center" wrapText="1"/>
    </xf>
    <xf numFmtId="0" fontId="60" fillId="0" borderId="92" xfId="0" applyFont="1" applyBorder="1" applyAlignment="1">
      <alignment horizontal="left" vertical="center" wrapText="1"/>
    </xf>
    <xf numFmtId="0" fontId="60" fillId="0" borderId="93" xfId="0" applyFont="1" applyBorder="1" applyAlignment="1">
      <alignment horizontal="left" vertical="center" wrapText="1"/>
    </xf>
    <xf numFmtId="0" fontId="60" fillId="0" borderId="94" xfId="0" applyFont="1" applyBorder="1" applyAlignment="1">
      <alignment horizontal="left" vertical="center" wrapText="1"/>
    </xf>
    <xf numFmtId="0" fontId="75" fillId="0" borderId="84" xfId="0" applyFont="1" applyBorder="1" applyAlignment="1">
      <alignment horizontal="center" vertical="center" wrapText="1"/>
    </xf>
    <xf numFmtId="0" fontId="75" fillId="0" borderId="85" xfId="0" applyFont="1" applyBorder="1" applyAlignment="1">
      <alignment horizontal="center" vertical="center" wrapText="1"/>
    </xf>
    <xf numFmtId="0" fontId="75" fillId="0" borderId="92" xfId="0" applyFont="1" applyBorder="1" applyAlignment="1">
      <alignment horizontal="center" vertical="center" wrapText="1"/>
    </xf>
    <xf numFmtId="0" fontId="75" fillId="0" borderId="93" xfId="0" applyFont="1" applyBorder="1" applyAlignment="1">
      <alignment horizontal="center" vertical="center" wrapText="1"/>
    </xf>
    <xf numFmtId="0" fontId="60" fillId="0" borderId="85" xfId="0" applyFont="1" applyBorder="1" applyAlignment="1">
      <alignment horizontal="left" vertical="center" wrapText="1"/>
    </xf>
    <xf numFmtId="0" fontId="60" fillId="0" borderId="86" xfId="0" applyFont="1" applyBorder="1" applyAlignment="1">
      <alignment horizontal="left" vertical="center" wrapText="1"/>
    </xf>
    <xf numFmtId="0" fontId="29" fillId="0" borderId="2" xfId="0" applyFont="1" applyBorder="1" applyAlignment="1" applyProtection="1">
      <alignment horizontal="center"/>
      <protection locked="0"/>
    </xf>
    <xf numFmtId="0" fontId="31" fillId="0" borderId="2" xfId="0" applyFont="1" applyBorder="1" applyAlignment="1" applyProtection="1">
      <alignment horizontal="left" vertical="center" wrapText="1"/>
      <protection locked="0"/>
    </xf>
    <xf numFmtId="0" fontId="107" fillId="0" borderId="5" xfId="0" applyFont="1" applyBorder="1" applyAlignment="1" applyProtection="1">
      <alignment horizontal="left" vertical="center" wrapText="1"/>
      <protection locked="0"/>
    </xf>
    <xf numFmtId="0" fontId="107" fillId="0" borderId="20" xfId="0" applyFont="1" applyBorder="1" applyAlignment="1" applyProtection="1">
      <alignment horizontal="left" vertical="center" wrapText="1"/>
      <protection locked="0"/>
    </xf>
    <xf numFmtId="0" fontId="107" fillId="0" borderId="13" xfId="0" applyFont="1" applyBorder="1" applyAlignment="1" applyProtection="1">
      <alignment horizontal="left" vertical="center" wrapText="1"/>
      <protection locked="0"/>
    </xf>
    <xf numFmtId="0" fontId="88" fillId="0" borderId="40" xfId="0" applyFont="1" applyBorder="1" applyAlignment="1" applyProtection="1">
      <alignment horizontal="center" vertical="center" wrapText="1"/>
      <protection locked="0"/>
    </xf>
    <xf numFmtId="0" fontId="88" fillId="0" borderId="10" xfId="0" applyFont="1" applyBorder="1" applyAlignment="1" applyProtection="1">
      <alignment horizontal="left" vertical="center" wrapText="1"/>
      <protection locked="0"/>
    </xf>
    <xf numFmtId="0" fontId="87" fillId="0" borderId="5" xfId="0" applyFont="1" applyBorder="1" applyAlignment="1" applyProtection="1">
      <alignment horizontal="center"/>
      <protection locked="0"/>
    </xf>
    <xf numFmtId="0" fontId="87" fillId="0" borderId="20" xfId="0" applyFont="1" applyBorder="1" applyAlignment="1" applyProtection="1">
      <alignment horizontal="center"/>
      <protection locked="0"/>
    </xf>
    <xf numFmtId="0" fontId="91" fillId="0" borderId="5" xfId="0" applyFont="1" applyBorder="1" applyAlignment="1" applyProtection="1">
      <alignment horizontal="left" vertical="center" wrapText="1"/>
      <protection locked="0"/>
    </xf>
    <xf numFmtId="0" fontId="91" fillId="0" borderId="20" xfId="0" applyFont="1" applyBorder="1" applyAlignment="1" applyProtection="1">
      <alignment horizontal="left" vertical="center" wrapText="1"/>
      <protection locked="0"/>
    </xf>
    <xf numFmtId="0" fontId="53" fillId="0" borderId="5" xfId="0" applyFont="1" applyBorder="1" applyAlignment="1" applyProtection="1">
      <alignment horizontal="left" vertical="top" wrapText="1"/>
      <protection locked="0"/>
    </xf>
    <xf numFmtId="0" fontId="53" fillId="0" borderId="20" xfId="0" applyFont="1" applyBorder="1" applyAlignment="1" applyProtection="1">
      <alignment horizontal="left" vertical="top" wrapText="1"/>
      <protection locked="0"/>
    </xf>
    <xf numFmtId="0" fontId="53" fillId="0" borderId="13" xfId="0" applyFont="1" applyBorder="1" applyAlignment="1" applyProtection="1">
      <alignment horizontal="left" vertical="top" wrapText="1"/>
      <protection locked="0"/>
    </xf>
    <xf numFmtId="0" fontId="27" fillId="0" borderId="30" xfId="0" applyFont="1" applyBorder="1" applyAlignment="1" applyProtection="1">
      <alignment horizontal="center" vertical="center" wrapText="1"/>
      <protection locked="0"/>
    </xf>
    <xf numFmtId="0" fontId="88" fillId="0" borderId="10" xfId="83" applyFont="1" applyBorder="1" applyAlignment="1" applyProtection="1">
      <alignment horizontal="left" vertical="center" wrapText="1"/>
      <protection locked="0"/>
    </xf>
    <xf numFmtId="0" fontId="87" fillId="0" borderId="9" xfId="0" applyFont="1" applyBorder="1" applyAlignment="1" applyProtection="1">
      <alignment horizontal="center" vertical="center"/>
      <protection locked="0"/>
    </xf>
    <xf numFmtId="0" fontId="91" fillId="0" borderId="2" xfId="0" applyFont="1" applyBorder="1" applyAlignment="1" applyProtection="1">
      <alignment horizontal="center" vertical="center" wrapText="1"/>
      <protection locked="0"/>
    </xf>
    <xf numFmtId="0" fontId="87" fillId="0" borderId="7" xfId="0" applyFont="1" applyBorder="1" applyAlignment="1" applyProtection="1">
      <alignment horizontal="left" vertical="center"/>
      <protection locked="0"/>
    </xf>
    <xf numFmtId="0" fontId="87" fillId="0" borderId="36" xfId="0" applyFont="1" applyBorder="1" applyAlignment="1" applyProtection="1">
      <alignment horizontal="left" vertical="center"/>
      <protection locked="0"/>
    </xf>
    <xf numFmtId="0" fontId="87" fillId="0" borderId="11" xfId="0" applyFont="1" applyBorder="1" applyAlignment="1" applyProtection="1">
      <alignment horizontal="left" vertical="center"/>
      <protection locked="0"/>
    </xf>
    <xf numFmtId="0" fontId="87" fillId="0" borderId="0" xfId="0" applyFont="1" applyBorder="1" applyAlignment="1" applyProtection="1">
      <alignment horizontal="left" vertical="center"/>
      <protection locked="0"/>
    </xf>
    <xf numFmtId="0" fontId="31" fillId="0" borderId="5" xfId="0" applyFont="1" applyBorder="1" applyAlignment="1" applyProtection="1">
      <alignment horizontal="center" vertical="center" wrapText="1"/>
      <protection locked="0"/>
    </xf>
    <xf numFmtId="0" fontId="31" fillId="0" borderId="20" xfId="0" applyFont="1" applyBorder="1" applyAlignment="1" applyProtection="1">
      <alignment horizontal="center" vertical="center" wrapText="1"/>
      <protection locked="0"/>
    </xf>
    <xf numFmtId="0" fontId="31" fillId="0" borderId="13" xfId="0" applyFont="1" applyBorder="1" applyAlignment="1" applyProtection="1">
      <alignment horizontal="center" vertical="center" wrapText="1"/>
      <protection locked="0"/>
    </xf>
    <xf numFmtId="0" fontId="87" fillId="0" borderId="2" xfId="0" applyFont="1" applyBorder="1" applyAlignment="1" applyProtection="1">
      <alignment horizontal="center" vertical="center"/>
      <protection locked="0"/>
    </xf>
    <xf numFmtId="0" fontId="91" fillId="0" borderId="101" xfId="0" applyFont="1" applyBorder="1" applyAlignment="1" applyProtection="1">
      <alignment horizontal="center" vertical="center" wrapText="1"/>
      <protection locked="0"/>
    </xf>
    <xf numFmtId="0" fontId="91" fillId="0" borderId="102" xfId="0" applyFont="1" applyBorder="1" applyAlignment="1" applyProtection="1">
      <alignment horizontal="center" vertical="center" wrapText="1"/>
      <protection locked="0"/>
    </xf>
    <xf numFmtId="0" fontId="91" fillId="0" borderId="13" xfId="0" applyFont="1" applyBorder="1" applyAlignment="1" applyProtection="1">
      <alignment horizontal="center" vertical="center" wrapText="1"/>
      <protection locked="0"/>
    </xf>
    <xf numFmtId="0" fontId="108" fillId="0" borderId="5" xfId="0" applyFont="1" applyBorder="1" applyAlignment="1" applyProtection="1">
      <alignment horizontal="left" vertical="center" wrapText="1"/>
      <protection locked="0"/>
    </xf>
    <xf numFmtId="0" fontId="27" fillId="21" borderId="9" xfId="0" applyFont="1" applyFill="1" applyBorder="1" applyAlignment="1">
      <alignment horizontal="left" vertical="top" wrapText="1"/>
    </xf>
    <xf numFmtId="0" fontId="27" fillId="21" borderId="28" xfId="0" applyFont="1" applyFill="1" applyBorder="1" applyAlignment="1">
      <alignment horizontal="left" vertical="top" wrapText="1"/>
    </xf>
    <xf numFmtId="0" fontId="27" fillId="21" borderId="10" xfId="0" applyFont="1" applyFill="1" applyBorder="1" applyAlignment="1">
      <alignment horizontal="left" vertical="top" wrapText="1"/>
    </xf>
    <xf numFmtId="0" fontId="27" fillId="21" borderId="9" xfId="0" applyFont="1" applyFill="1" applyBorder="1" applyAlignment="1">
      <alignment vertical="top" wrapText="1"/>
    </xf>
    <xf numFmtId="0" fontId="27" fillId="21" borderId="28" xfId="0" applyFont="1" applyFill="1" applyBorder="1" applyAlignment="1">
      <alignment vertical="top" wrapText="1"/>
    </xf>
    <xf numFmtId="0" fontId="27" fillId="21" borderId="10" xfId="0" applyFont="1" applyFill="1" applyBorder="1" applyAlignment="1">
      <alignment vertical="top" wrapText="1"/>
    </xf>
    <xf numFmtId="0" fontId="0" fillId="0" borderId="2" xfId="83" applyFont="1" applyBorder="1" applyAlignment="1">
      <alignment horizontal="center" vertical="center"/>
    </xf>
    <xf numFmtId="0" fontId="117" fillId="0" borderId="2" xfId="83" applyFont="1" applyBorder="1" applyAlignment="1">
      <alignment horizontal="center" vertical="center"/>
    </xf>
    <xf numFmtId="0" fontId="117" fillId="0" borderId="5" xfId="83" applyFont="1" applyBorder="1" applyAlignment="1">
      <alignment horizontal="center" vertical="center"/>
    </xf>
    <xf numFmtId="0" fontId="118" fillId="0" borderId="81" xfId="0" applyFont="1" applyBorder="1" applyAlignment="1" applyProtection="1">
      <alignment horizontal="left" vertical="center" wrapText="1"/>
      <protection locked="0"/>
    </xf>
    <xf numFmtId="0" fontId="89" fillId="0" borderId="0" xfId="0" applyFont="1" applyAlignment="1" applyProtection="1">
      <alignment horizontal="left" wrapText="1"/>
      <protection locked="0"/>
    </xf>
    <xf numFmtId="0" fontId="88" fillId="0" borderId="0" xfId="0" applyFont="1" applyAlignment="1" applyProtection="1">
      <alignment horizontal="left" wrapText="1"/>
      <protection locked="0"/>
    </xf>
    <xf numFmtId="0" fontId="0" fillId="0" borderId="0" xfId="0" applyFont="1" applyProtection="1">
      <protection locked="0"/>
    </xf>
    <xf numFmtId="0" fontId="87" fillId="0" borderId="0" xfId="0" applyFont="1" applyAlignment="1" applyProtection="1">
      <alignment vertical="center" wrapText="1"/>
      <protection locked="0"/>
    </xf>
    <xf numFmtId="0" fontId="0" fillId="0" borderId="12" xfId="0" applyFont="1" applyBorder="1" applyProtection="1">
      <protection locked="0"/>
    </xf>
    <xf numFmtId="0" fontId="87" fillId="0" borderId="0" xfId="0" applyFont="1" applyAlignment="1" applyProtection="1">
      <alignment vertical="center"/>
      <protection locked="0"/>
    </xf>
    <xf numFmtId="0" fontId="88" fillId="0" borderId="0" xfId="0" applyFont="1" applyAlignment="1" applyProtection="1">
      <alignment vertical="center" wrapText="1"/>
      <protection locked="0"/>
    </xf>
    <xf numFmtId="0" fontId="119" fillId="0" borderId="44" xfId="0" applyFont="1" applyBorder="1" applyAlignment="1" applyProtection="1">
      <alignment horizontal="left" vertical="center" wrapText="1"/>
      <protection locked="0"/>
    </xf>
    <xf numFmtId="0" fontId="120" fillId="0" borderId="44" xfId="0" applyFont="1" applyBorder="1" applyAlignment="1" applyProtection="1">
      <alignment horizontal="left" vertical="center" wrapText="1"/>
      <protection locked="0"/>
    </xf>
    <xf numFmtId="0" fontId="88" fillId="0" borderId="36" xfId="0" applyFont="1" applyBorder="1" applyAlignment="1" applyProtection="1">
      <alignment horizontal="center" vertical="center" wrapText="1"/>
      <protection locked="0"/>
    </xf>
    <xf numFmtId="0" fontId="121" fillId="0" borderId="2" xfId="0" applyFont="1" applyBorder="1" applyAlignment="1" applyProtection="1">
      <alignment horizontal="left" vertical="center" wrapText="1"/>
      <protection locked="0"/>
    </xf>
    <xf numFmtId="0" fontId="122" fillId="0" borderId="2" xfId="0" applyFont="1" applyBorder="1" applyAlignment="1" applyProtection="1">
      <alignment horizontal="left" vertical="center" wrapText="1"/>
      <protection locked="0"/>
    </xf>
    <xf numFmtId="0" fontId="123" fillId="0" borderId="2" xfId="0" applyFont="1" applyBorder="1" applyAlignment="1" applyProtection="1">
      <alignment horizontal="left" vertical="center" wrapText="1"/>
      <protection locked="0"/>
    </xf>
  </cellXfs>
  <cellStyles count="86">
    <cellStyle name="Excel Built-in Normal" xfId="1" xr:uid="{00000000-0005-0000-0000-000000000000}"/>
    <cellStyle name="Heading" xfId="2" xr:uid="{00000000-0005-0000-0000-000001000000}"/>
    <cellStyle name="Heading1" xfId="3" xr:uid="{00000000-0005-0000-0000-000002000000}"/>
    <cellStyle name="Lien hypertexte" xfId="21" builtinId="8" hidden="1"/>
    <cellStyle name="Lien hypertexte" xfId="23" builtinId="8" hidden="1"/>
    <cellStyle name="Lien hypertexte" xfId="25" builtinId="8" hidden="1"/>
    <cellStyle name="Lien hypertexte" xfId="27" builtinId="8" hidden="1"/>
    <cellStyle name="Lien hypertexte" xfId="29" builtinId="8" hidden="1"/>
    <cellStyle name="Lien hypertexte" xfId="31" builtinId="8" hidden="1"/>
    <cellStyle name="Lien hypertexte" xfId="33" builtinId="8" hidden="1"/>
    <cellStyle name="Lien hypertexte" xfId="35" builtinId="8" hidden="1"/>
    <cellStyle name="Lien hypertexte" xfId="37" builtinId="8" hidden="1"/>
    <cellStyle name="Lien hypertexte" xfId="39" builtinId="8" hidden="1"/>
    <cellStyle name="Lien hypertexte" xfId="41" builtinId="8" hidden="1"/>
    <cellStyle name="Lien hypertexte" xfId="43" builtinId="8" hidden="1"/>
    <cellStyle name="Lien hypertexte" xfId="45" builtinId="8" hidden="1"/>
    <cellStyle name="Lien hypertexte" xfId="47" builtinId="8" hidden="1"/>
    <cellStyle name="Lien hypertexte" xfId="49" builtinId="8" hidden="1"/>
    <cellStyle name="Lien hypertexte" xfId="51" builtinId="8" hidden="1"/>
    <cellStyle name="Lien hypertexte" xfId="53" builtinId="8" hidden="1"/>
    <cellStyle name="Lien hypertexte" xfId="55" builtinId="8" hidden="1"/>
    <cellStyle name="Lien hypertexte" xfId="57" builtinId="8" hidden="1"/>
    <cellStyle name="Lien hypertexte" xfId="59" builtinId="8" hidden="1"/>
    <cellStyle name="Lien hypertexte" xfId="61" builtinId="8" hidden="1"/>
    <cellStyle name="Lien hypertexte" xfId="63" builtinId="8" hidden="1"/>
    <cellStyle name="Lien hypertexte" xfId="65" builtinId="8" hidden="1"/>
    <cellStyle name="Lien hypertexte" xfId="67" builtinId="8" hidden="1"/>
    <cellStyle name="Lien hypertexte visité" xfId="22" builtinId="9" hidden="1"/>
    <cellStyle name="Lien hypertexte visité" xfId="24" builtinId="9" hidden="1"/>
    <cellStyle name="Lien hypertexte visité" xfId="26" builtinId="9" hidden="1"/>
    <cellStyle name="Lien hypertexte visité" xfId="28" builtinId="9" hidden="1"/>
    <cellStyle name="Lien hypertexte visité" xfId="30" builtinId="9" hidden="1"/>
    <cellStyle name="Lien hypertexte visité" xfId="32" builtinId="9" hidden="1"/>
    <cellStyle name="Lien hypertexte visité" xfId="34" builtinId="9" hidden="1"/>
    <cellStyle name="Lien hypertexte visité" xfId="36" builtinId="9" hidden="1"/>
    <cellStyle name="Lien hypertexte visité" xfId="38" builtinId="9" hidden="1"/>
    <cellStyle name="Lien hypertexte visité" xfId="40" builtinId="9" hidden="1"/>
    <cellStyle name="Lien hypertexte visité" xfId="42" builtinId="9" hidden="1"/>
    <cellStyle name="Lien hypertexte visité" xfId="44" builtinId="9" hidden="1"/>
    <cellStyle name="Lien hypertexte visité" xfId="46" builtinId="9" hidden="1"/>
    <cellStyle name="Lien hypertexte visité" xfId="48" builtinId="9" hidden="1"/>
    <cellStyle name="Lien hypertexte visité" xfId="50" builtinId="9" hidden="1"/>
    <cellStyle name="Lien hypertexte visité" xfId="52" builtinId="9" hidden="1"/>
    <cellStyle name="Lien hypertexte visité" xfId="54" builtinId="9" hidden="1"/>
    <cellStyle name="Lien hypertexte visité" xfId="56" builtinId="9" hidden="1"/>
    <cellStyle name="Lien hypertexte visité" xfId="58" builtinId="9" hidden="1"/>
    <cellStyle name="Lien hypertexte visité" xfId="60" builtinId="9" hidden="1"/>
    <cellStyle name="Lien hypertexte visité" xfId="62" builtinId="9" hidden="1"/>
    <cellStyle name="Lien hypertexte visité" xfId="64" builtinId="9" hidden="1"/>
    <cellStyle name="Lien hypertexte visité" xfId="66" builtinId="9" hidden="1"/>
    <cellStyle name="Lien hypertexte visité" xfId="68" builtinId="9" hidden="1"/>
    <cellStyle name="Milliers" xfId="84" builtinId="3"/>
    <cellStyle name="Normal" xfId="0" builtinId="0" customBuiltin="1"/>
    <cellStyle name="Normal 2" xfId="6" xr:uid="{00000000-0005-0000-0000-000034000000}"/>
    <cellStyle name="Normal 3" xfId="7" xr:uid="{00000000-0005-0000-0000-000035000000}"/>
    <cellStyle name="Normal 3 2" xfId="8" xr:uid="{00000000-0005-0000-0000-000036000000}"/>
    <cellStyle name="Normal 3 2 2" xfId="10" xr:uid="{00000000-0005-0000-0000-000037000000}"/>
    <cellStyle name="Normal 3 2 2 2" xfId="17" xr:uid="{00000000-0005-0000-0000-000038000000}"/>
    <cellStyle name="Normal 3 2 2 2 2" xfId="79" xr:uid="{00000000-0005-0000-0000-000038000000}"/>
    <cellStyle name="Normal 3 2 2 3" xfId="72" xr:uid="{00000000-0005-0000-0000-000037000000}"/>
    <cellStyle name="Normal 3 2 3" xfId="15" xr:uid="{00000000-0005-0000-0000-000039000000}"/>
    <cellStyle name="Normal 3 2 3 2" xfId="77" xr:uid="{00000000-0005-0000-0000-000039000000}"/>
    <cellStyle name="Normal 3 2 4" xfId="70" xr:uid="{00000000-0005-0000-0000-000036000000}"/>
    <cellStyle name="Normal 3 3" xfId="9" xr:uid="{00000000-0005-0000-0000-00003A000000}"/>
    <cellStyle name="Normal 3 3 2" xfId="16" xr:uid="{00000000-0005-0000-0000-00003B000000}"/>
    <cellStyle name="Normal 3 3 2 2" xfId="78" xr:uid="{00000000-0005-0000-0000-00003B000000}"/>
    <cellStyle name="Normal 3 3 3" xfId="71" xr:uid="{00000000-0005-0000-0000-00003A000000}"/>
    <cellStyle name="Normal 3 4" xfId="11" xr:uid="{00000000-0005-0000-0000-00003C000000}"/>
    <cellStyle name="Normal 3 4 2" xfId="18" xr:uid="{00000000-0005-0000-0000-00003D000000}"/>
    <cellStyle name="Normal 3 4 2 2" xfId="80" xr:uid="{00000000-0005-0000-0000-00003D000000}"/>
    <cellStyle name="Normal 3 4 3" xfId="73" xr:uid="{00000000-0005-0000-0000-00003C000000}"/>
    <cellStyle name="Normal 3 5" xfId="12" xr:uid="{00000000-0005-0000-0000-00003E000000}"/>
    <cellStyle name="Normal 3 5 2" xfId="19" xr:uid="{00000000-0005-0000-0000-00003F000000}"/>
    <cellStyle name="Normal 3 5 2 2" xfId="81" xr:uid="{00000000-0005-0000-0000-00003F000000}"/>
    <cellStyle name="Normal 3 5 3" xfId="74" xr:uid="{00000000-0005-0000-0000-00003E000000}"/>
    <cellStyle name="Normal 3 6" xfId="13" xr:uid="{00000000-0005-0000-0000-000040000000}"/>
    <cellStyle name="Normal 3 6 2" xfId="20" xr:uid="{00000000-0005-0000-0000-000041000000}"/>
    <cellStyle name="Normal 3 6 2 2" xfId="82" xr:uid="{00000000-0005-0000-0000-000041000000}"/>
    <cellStyle name="Normal 3 6 3" xfId="75" xr:uid="{00000000-0005-0000-0000-000040000000}"/>
    <cellStyle name="Normal 3 7" xfId="14" xr:uid="{00000000-0005-0000-0000-000042000000}"/>
    <cellStyle name="Normal 3 7 2" xfId="76" xr:uid="{00000000-0005-0000-0000-000042000000}"/>
    <cellStyle name="Normal 3 8" xfId="69" xr:uid="{00000000-0005-0000-0000-000035000000}"/>
    <cellStyle name="Result" xfId="4" xr:uid="{00000000-0005-0000-0000-000043000000}"/>
    <cellStyle name="Result2" xfId="5" xr:uid="{00000000-0005-0000-0000-000044000000}"/>
    <cellStyle name="TableStyleLight1" xfId="85" xr:uid="{17CEF82D-2956-4760-9027-513AF5663B33}"/>
    <cellStyle name="Texte explicatif" xfId="83" builtinId="53"/>
  </cellStyles>
  <dxfs count="11">
    <dxf>
      <font>
        <color auto="1"/>
      </font>
      <fill>
        <patternFill>
          <bgColor rgb="FFFFFF00"/>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s>
  <tableStyles count="0" defaultTableStyle="TableStyleMedium9" defaultPivotStyle="PivotStyleLight16"/>
  <colors>
    <mruColors>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ECH_progression_pedagogique_Cycle4_ac_lille_V05_07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ogression%20s&#233;quence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e de l'enseignement"/>
      <sheetName val="Notice"/>
      <sheetName val="Programme"/>
      <sheetName val="Problématiques_compétences"/>
      <sheetName val="Progression_Cycle4"/>
      <sheetName val="Générateur de séquences"/>
      <sheetName val="s1"/>
      <sheetName val="s2"/>
      <sheetName val="s3"/>
      <sheetName val="s4"/>
      <sheetName val="s5"/>
      <sheetName val="s6"/>
      <sheetName val="s7"/>
      <sheetName val="s8"/>
      <sheetName val="s9"/>
      <sheetName val="s10"/>
      <sheetName val="s11"/>
      <sheetName val="s12"/>
      <sheetName val="s13"/>
      <sheetName val="s14"/>
      <sheetName val="s15"/>
      <sheetName val="s16"/>
      <sheetName val="s17"/>
      <sheetName val="s18"/>
      <sheetName val="s19"/>
      <sheetName val="s20"/>
      <sheetName val="s21"/>
      <sheetName val="s22"/>
      <sheetName val="s23"/>
      <sheetName val="s24"/>
      <sheetName val="s25"/>
      <sheetName val="s26"/>
      <sheetName val="s27"/>
      <sheetName val="s28"/>
      <sheetName val="s29"/>
      <sheetName val="s30"/>
    </sheetNames>
    <sheetDataSet>
      <sheetData sheetId="0"/>
      <sheetData sheetId="1"/>
      <sheetData sheetId="2">
        <row r="1">
          <cell r="B1"/>
        </row>
        <row r="2">
          <cell r="B2" t="str">
            <v xml:space="preserve">Compétences travaillées </v>
          </cell>
        </row>
        <row r="3">
          <cell r="B3">
            <v>1</v>
          </cell>
          <cell r="C3" t="str">
            <v>Pratiquer des démarches scientifiques et technologiques</v>
          </cell>
          <cell r="D3" t="str">
            <v>Design</v>
          </cell>
          <cell r="E3" t="str">
            <v>Évolution-description</v>
          </cell>
          <cell r="F3" t="str">
            <v>Modélisation</v>
          </cell>
          <cell r="G3" t="str">
            <v>Info</v>
          </cell>
        </row>
        <row r="4">
          <cell r="B4" t="str">
            <v>CT 1.1</v>
          </cell>
          <cell r="C4" t="str">
            <v xml:space="preserve">► Imaginer, synthétiser, formaliser et respecter une procédure, un protocole. </v>
          </cell>
          <cell r="D4" t="str">
            <v>DIC.1.3</v>
          </cell>
          <cell r="E4"/>
          <cell r="F4" t="str">
            <v>MSOST.1.1</v>
          </cell>
          <cell r="G4"/>
        </row>
        <row r="5">
          <cell r="B5" t="str">
            <v>CT 1.2</v>
          </cell>
          <cell r="C5" t="str">
            <v xml:space="preserve">► Mesurer des grandeurs de manière directe ou indirecte. </v>
          </cell>
          <cell r="D5"/>
          <cell r="E5"/>
          <cell r="F5" t="str">
            <v>MSOST.1.6</v>
          </cell>
          <cell r="G5"/>
        </row>
        <row r="6">
          <cell r="B6" t="str">
            <v>CT 1.3</v>
          </cell>
          <cell r="C6" t="str">
            <v xml:space="preserve">► Rechercher des solutions techniques à un problème posé, expliciter ses choix et les communiquer en argumentant. </v>
          </cell>
          <cell r="D6" t="str">
            <v>DIC.1.5</v>
          </cell>
          <cell r="E6"/>
          <cell r="F6"/>
          <cell r="G6"/>
        </row>
        <row r="7">
          <cell r="B7" t="str">
            <v>CT 1.4</v>
          </cell>
          <cell r="C7" t="str">
            <v>► Participer à l’organisation et au déroulement de projets.</v>
          </cell>
          <cell r="D7" t="str">
            <v>DIC.1.4</v>
          </cell>
          <cell r="E7"/>
          <cell r="F7"/>
          <cell r="G7"/>
          <cell r="I7" t="str">
            <v>DIC.1</v>
          </cell>
          <cell r="J7" t="str">
            <v>Imaginer des solutions en réponse aux besoins, matérialiser une idée en intégrant une dimension design</v>
          </cell>
          <cell r="K7"/>
          <cell r="L7"/>
        </row>
        <row r="8">
          <cell r="B8">
            <v>2</v>
          </cell>
          <cell r="C8" t="str">
            <v>Concevoir, créer, réaliser</v>
          </cell>
          <cell r="E8"/>
          <cell r="F8"/>
          <cell r="G8"/>
          <cell r="I8" t="str">
            <v>DIC.1.1</v>
          </cell>
          <cell r="J8" t="str">
            <v>Identifier un besoin (biens matériels ou services) et énoncer un problème technique.</v>
          </cell>
          <cell r="K8" t="str">
            <v>DIC.1.1.1</v>
          </cell>
          <cell r="L8" t="str">
            <v xml:space="preserve">Besoin, contraintes, normalisation. </v>
          </cell>
        </row>
        <row r="9">
          <cell r="B9" t="str">
            <v>CT 2.1</v>
          </cell>
          <cell r="C9" t="str">
            <v>► Identifier un besoin et énoncer un problème technique, identifier les conditions, contraintes (normes et règlements) et ressources correspondantes.</v>
          </cell>
          <cell r="D9" t="str">
            <v>DIC.1.1</v>
          </cell>
          <cell r="E9" t="str">
            <v>DIC.1.2</v>
          </cell>
          <cell r="F9"/>
          <cell r="G9"/>
          <cell r="I9" t="str">
            <v>DIC.1.2</v>
          </cell>
          <cell r="J9" t="str">
            <v>Identifier les conditions, contraintes (normes et règlements) et ressources correspondantes, qualifier et quantifier simplement les performances d’un objet technique existant ou à créer.</v>
          </cell>
          <cell r="K9" t="str">
            <v>DIC.1.2.1</v>
          </cell>
          <cell r="L9" t="str">
            <v xml:space="preserve">Principaux éléments d’un cahier des charges. </v>
          </cell>
        </row>
        <row r="10">
          <cell r="B10"/>
          <cell r="C10"/>
          <cell r="D10" t="str">
            <v>DIC.1.2</v>
          </cell>
          <cell r="E10"/>
          <cell r="F10"/>
          <cell r="G10"/>
          <cell r="I10"/>
          <cell r="J10"/>
          <cell r="K10"/>
          <cell r="L10"/>
        </row>
        <row r="11">
          <cell r="B11" t="str">
            <v>CT 2.2</v>
          </cell>
          <cell r="C11" t="str">
            <v>► Identifier le(s) matériau(x), les flux d’énergie et d’information dans le cadre d’une production technique sur un objet et décrire les transformations qui s’opèrent.</v>
          </cell>
          <cell r="D11"/>
          <cell r="E11"/>
          <cell r="F11" t="str">
            <v>MSOST.1.4</v>
          </cell>
          <cell r="G11"/>
          <cell r="I11" t="str">
            <v>DIC.1.3</v>
          </cell>
          <cell r="J11" t="str">
            <v xml:space="preserve">Imaginer, synthétiser et formaliser une procédure, un protocole. </v>
          </cell>
          <cell r="K11" t="str">
            <v>DIC.1.3.1</v>
          </cell>
          <cell r="L11" t="str">
            <v xml:space="preserve">Outils numériques de présentation. </v>
          </cell>
        </row>
        <row r="12">
          <cell r="B12" t="str">
            <v>CT 2.3</v>
          </cell>
          <cell r="C12" t="str">
            <v>► S’approprier un cahier des charges.</v>
          </cell>
          <cell r="D12" t="str">
            <v>DIC.1.2</v>
          </cell>
          <cell r="E12"/>
          <cell r="F12"/>
          <cell r="G12"/>
          <cell r="I12"/>
          <cell r="J12"/>
          <cell r="K12" t="str">
            <v>DIC.1.3.2</v>
          </cell>
          <cell r="L12" t="str">
            <v>Charte graphique.</v>
          </cell>
        </row>
        <row r="13">
          <cell r="B13" t="str">
            <v>CT 2.4</v>
          </cell>
          <cell r="C13" t="str">
            <v>► Associer des solutions techniques à des fonctions.</v>
          </cell>
          <cell r="D13"/>
          <cell r="E13"/>
          <cell r="F13" t="str">
            <v>MSOST.1.2</v>
          </cell>
          <cell r="G13"/>
          <cell r="I13" t="str">
            <v>DIC.1.4</v>
          </cell>
          <cell r="J13" t="str">
            <v>Participer à l’organisation de projets, la définition des rôles, la planification (se projeter et anticiper) et aux revues de projet.</v>
          </cell>
          <cell r="K13" t="str">
            <v>DIC.1.4.1</v>
          </cell>
          <cell r="L13" t="str">
            <v>Organisation d’un groupe de projet, rôle des participants, planning, revue de projets.</v>
          </cell>
        </row>
        <row r="14">
          <cell r="B14" t="str">
            <v>CT 2.5</v>
          </cell>
          <cell r="C14" t="str">
            <v>► Imaginer des solutions en réponse au besoin.</v>
          </cell>
          <cell r="D14" t="str">
            <v>DIC.1.5</v>
          </cell>
          <cell r="E14"/>
          <cell r="F14"/>
          <cell r="G14"/>
          <cell r="I14" t="str">
            <v>DIC.1.5</v>
          </cell>
          <cell r="J14" t="str">
            <v>Imaginer des solutions pour produire des objets et des éléments de programmes informatiques en réponse au besoin.</v>
          </cell>
          <cell r="K14" t="str">
            <v>DIC.1.5.1</v>
          </cell>
          <cell r="L14" t="str">
            <v xml:space="preserve">Design. </v>
          </cell>
        </row>
        <row r="15">
          <cell r="B15" t="str">
            <v>CT 2.6</v>
          </cell>
          <cell r="C15" t="str">
            <v>► Réaliser, de manière collaborative, le prototype de tout ou partie d’un objet pour valider une solution.</v>
          </cell>
          <cell r="D15" t="str">
            <v>DIC.2.1</v>
          </cell>
          <cell r="E15"/>
          <cell r="F15" t="str">
            <v>MSOST.1.1</v>
          </cell>
          <cell r="G15"/>
          <cell r="I15"/>
          <cell r="J15"/>
          <cell r="K15" t="str">
            <v>DIC.1.5.2</v>
          </cell>
          <cell r="L15" t="str">
            <v xml:space="preserve">Innovation et créativité. </v>
          </cell>
        </row>
        <row r="16">
          <cell r="B16" t="str">
            <v>CT 2.7</v>
          </cell>
          <cell r="C16" t="str">
            <v>► Imaginer, concevoir et programmer des applications informatiques nomades.</v>
          </cell>
          <cell r="D16" t="str">
            <v>DIC.1.5</v>
          </cell>
          <cell r="E16"/>
          <cell r="F16"/>
          <cell r="G16" t="str">
            <v>IP.2.2</v>
          </cell>
          <cell r="I16"/>
          <cell r="J16"/>
          <cell r="K16" t="str">
            <v>DIC.1.5.3</v>
          </cell>
          <cell r="L16" t="str">
            <v xml:space="preserve">Veille. </v>
          </cell>
        </row>
        <row r="17">
          <cell r="B17">
            <v>3</v>
          </cell>
          <cell r="C17" t="str">
            <v>S’approprier des outils et des méthodes</v>
          </cell>
          <cell r="D17"/>
          <cell r="E17"/>
          <cell r="F17"/>
          <cell r="G17"/>
          <cell r="I17"/>
          <cell r="J17"/>
          <cell r="K17" t="str">
            <v>DIC.1.5.4</v>
          </cell>
          <cell r="L17" t="str">
            <v xml:space="preserve">Représentation de solutions (croquis, schémas, algorithmes). </v>
          </cell>
        </row>
        <row r="18">
          <cell r="B18" t="str">
            <v>CT 3.1</v>
          </cell>
          <cell r="C18" t="str">
            <v>► Exprimer sa pensée à l’aide d’outils de description adaptés : croquis, schémas, graphes, diagrammes, tableaux (représentations non normées).</v>
          </cell>
          <cell r="D18"/>
          <cell r="E18" t="str">
            <v>OTSCIS.2.1</v>
          </cell>
          <cell r="F18"/>
          <cell r="G18"/>
          <cell r="I18"/>
          <cell r="J18"/>
          <cell r="K18" t="str">
            <v>DIC.1.5.5</v>
          </cell>
          <cell r="L18" t="str">
            <v xml:space="preserve">Réalité augmentée. </v>
          </cell>
        </row>
        <row r="19">
          <cell r="B19" t="str">
            <v>CT 3.2</v>
          </cell>
          <cell r="C19" t="str">
            <v>► Traduire, à l’aide d’outils de représentation numérique, des choix de solutions sous forme de croquis, de dessins ou de schémas.</v>
          </cell>
          <cell r="D19" t="str">
            <v>DIC.1.5</v>
          </cell>
          <cell r="E19" t="str">
            <v>OTSCIS.2.2</v>
          </cell>
          <cell r="F19"/>
          <cell r="G19"/>
          <cell r="I19"/>
          <cell r="J19"/>
          <cell r="K19" t="str">
            <v>DIC.1.5.6</v>
          </cell>
          <cell r="L19" t="str">
            <v>Objets connectés.</v>
          </cell>
        </row>
        <row r="20">
          <cell r="B20" t="str">
            <v>CT 3.3</v>
          </cell>
          <cell r="C20" t="str">
            <v>► Présenter à l’oral et à l’aide de supports numériques multimédia des solutions techniques au moment des revues de projet.</v>
          </cell>
          <cell r="D20" t="str">
            <v>DIC.1.7</v>
          </cell>
          <cell r="E20"/>
          <cell r="F20"/>
          <cell r="G20"/>
          <cell r="I20" t="str">
            <v>DIC.1.6</v>
          </cell>
          <cell r="J20" t="str">
            <v>Organiser, structurer et stocker des ressources numériques.</v>
          </cell>
          <cell r="K20" t="str">
            <v>DIC.1.6.1</v>
          </cell>
          <cell r="L20" t="str">
            <v>Arborescence.</v>
          </cell>
        </row>
        <row r="21">
          <cell r="B21">
            <v>4</v>
          </cell>
          <cell r="C21" t="str">
            <v xml:space="preserve">Pratiquer des langages </v>
          </cell>
          <cell r="D21"/>
          <cell r="E21"/>
          <cell r="F21"/>
          <cell r="G21"/>
          <cell r="I21" t="str">
            <v>DIC.1.7</v>
          </cell>
          <cell r="J21" t="str">
            <v>Présenter à l’oral et à l’aide de supports numériques multimédia des solutions techniques au moment des revues de projet.</v>
          </cell>
          <cell r="K21" t="str">
            <v>DIC.1.7.1</v>
          </cell>
          <cell r="L21" t="str">
            <v>Outils numériques de présentation.</v>
          </cell>
        </row>
        <row r="22">
          <cell r="B22" t="str">
            <v>CT 4.1</v>
          </cell>
          <cell r="C22" t="str">
            <v>► Décrire, en utilisant les outils et langages de descriptions adaptés, la structure et le comportement des objets.</v>
          </cell>
          <cell r="D22"/>
          <cell r="E22" t="str">
            <v>OTSCIS.1.4</v>
          </cell>
          <cell r="F22" t="str">
            <v>MSOST.1.5</v>
          </cell>
          <cell r="G22"/>
          <cell r="I22"/>
          <cell r="J22"/>
          <cell r="K22"/>
          <cell r="L22" t="str">
            <v>Charte graphique.</v>
          </cell>
        </row>
        <row r="23">
          <cell r="B23" t="str">
            <v>CT 4.2</v>
          </cell>
          <cell r="C23" t="str">
            <v>► Appliquer les principes élémentaires de l’algorithmique et du codage à la résolution d’un problème simple.</v>
          </cell>
          <cell r="D23"/>
          <cell r="E23"/>
          <cell r="F23"/>
          <cell r="G23" t="str">
            <v>IP.2.3</v>
          </cell>
          <cell r="I23" t="str">
            <v>DIC.2</v>
          </cell>
          <cell r="J23" t="str">
            <v>Réaliser, de manière collaborative, le prototype d’un objet communicant</v>
          </cell>
          <cell r="K23"/>
          <cell r="L23"/>
        </row>
        <row r="24">
          <cell r="B24">
            <v>5</v>
          </cell>
          <cell r="C24" t="str">
            <v>Mobiliser des outils numériques</v>
          </cell>
          <cell r="D24"/>
          <cell r="E24"/>
          <cell r="F24"/>
          <cell r="G24"/>
          <cell r="I24" t="str">
            <v>DIC.2.1</v>
          </cell>
          <cell r="J24" t="str">
            <v>Réaliser, de manière collaborative, le prototype d’un objet pour valider une solution.</v>
          </cell>
          <cell r="K24" t="str">
            <v>DIC.2.1.1</v>
          </cell>
          <cell r="L24" t="str">
            <v>Prototypage rapide de structures et de circuits de commande à partir de cartes standard.</v>
          </cell>
        </row>
        <row r="25">
          <cell r="B25" t="str">
            <v>CT 5.1</v>
          </cell>
          <cell r="C25" t="str">
            <v>► Simuler numériquement la structure et/ou le comportement d’un objet.</v>
          </cell>
          <cell r="D25"/>
          <cell r="E25"/>
          <cell r="F25" t="str">
            <v>MSOST.2.2</v>
          </cell>
          <cell r="G25"/>
        </row>
        <row r="26">
          <cell r="B26" t="str">
            <v>CT 5.2</v>
          </cell>
          <cell r="C26" t="str">
            <v>► Organiser, structurer et stocker des ressources numériques.</v>
          </cell>
          <cell r="D26" t="str">
            <v>DIC.1.6</v>
          </cell>
          <cell r="E26"/>
          <cell r="F26"/>
          <cell r="G26"/>
        </row>
        <row r="27">
          <cell r="B27" t="str">
            <v>CT 5.3</v>
          </cell>
          <cell r="C27" t="str">
            <v>► Lire, utiliser et produire des représentations numériques d’objets.</v>
          </cell>
          <cell r="D27"/>
          <cell r="E27" t="str">
            <v>OTSCIS.2.2</v>
          </cell>
          <cell r="F27"/>
          <cell r="G27"/>
          <cell r="J27" t="str">
            <v>Les objets techniques, les services et les changements induits dans la société</v>
          </cell>
        </row>
        <row r="28">
          <cell r="B28" t="str">
            <v>CT 5.4</v>
          </cell>
          <cell r="C28" t="str">
            <v>► Piloter un système connecté localement ou à distance.</v>
          </cell>
          <cell r="D28"/>
          <cell r="E28"/>
          <cell r="F28"/>
          <cell r="G28" t="str">
            <v>IP.2.2</v>
          </cell>
          <cell r="J28" t="str">
            <v>Attendus de fin de cycle</v>
          </cell>
          <cell r="K28"/>
          <cell r="L28"/>
        </row>
        <row r="29">
          <cell r="B29" t="str">
            <v>CT 5.5</v>
          </cell>
          <cell r="C29" t="str">
            <v>► Modifier ou paramétrer le fonctionnement d’un objet communicant.</v>
          </cell>
          <cell r="D29"/>
          <cell r="E29"/>
          <cell r="F29"/>
          <cell r="G29" t="str">
            <v>IP.2.3</v>
          </cell>
          <cell r="J29" t="str">
            <v>Comparer et commenter les évolutions des objets et systèmes.</v>
          </cell>
          <cell r="K29"/>
          <cell r="L29"/>
        </row>
        <row r="30">
          <cell r="B30">
            <v>6</v>
          </cell>
          <cell r="C30" t="str">
            <v>Adopter un comportement éthique et responsable</v>
          </cell>
          <cell r="D30"/>
          <cell r="E30"/>
          <cell r="F30"/>
          <cell r="G30"/>
          <cell r="J30" t="str">
            <v>Exprimer sa pensée à l’aide d’outils de description adaptés. </v>
          </cell>
          <cell r="K30"/>
          <cell r="L30"/>
        </row>
        <row r="31">
          <cell r="B31" t="str">
            <v>CT 6.1</v>
          </cell>
          <cell r="C31" t="str">
            <v>► Développer les bonnes pratiques de l’usage des objets communicants.</v>
          </cell>
          <cell r="D31"/>
          <cell r="E31" t="str">
            <v>OTSCIS.1.3</v>
          </cell>
          <cell r="F31"/>
          <cell r="G31"/>
          <cell r="J31" t="str">
            <v>Développer les bonnes pratiques de l’usage des objets communicants.</v>
          </cell>
          <cell r="K31"/>
          <cell r="L31"/>
        </row>
        <row r="32">
          <cell r="B32" t="str">
            <v>CT 6.2</v>
          </cell>
          <cell r="C32" t="str">
            <v>► Analyser l’impact environnemental d’un objet et de ses constituants.</v>
          </cell>
          <cell r="D32"/>
          <cell r="E32" t="str">
            <v>OTSCIS.1.2</v>
          </cell>
          <cell r="F32"/>
          <cell r="G32"/>
          <cell r="J32" t="str">
            <v>Compétences</v>
          </cell>
          <cell r="K32"/>
          <cell r="L32" t="str">
            <v xml:space="preserve">Connaissances </v>
          </cell>
        </row>
        <row r="33">
          <cell r="B33" t="str">
            <v>CT 6.3</v>
          </cell>
          <cell r="C33" t="str">
            <v>► Analyser le cycle de vie d’un objet.</v>
          </cell>
          <cell r="D33"/>
          <cell r="E33" t="str">
            <v>OTSCIS.1.1</v>
          </cell>
          <cell r="F33"/>
          <cell r="G33"/>
          <cell r="I33" t="str">
            <v>OTSCIS.1</v>
          </cell>
          <cell r="J33" t="str">
            <v>Comparer et commenter les évolutions des objets et systèmes</v>
          </cell>
          <cell r="K33"/>
          <cell r="L33"/>
        </row>
        <row r="34">
          <cell r="B34">
            <v>7</v>
          </cell>
          <cell r="C34" t="str">
            <v>Se situer dans l’espace et dans le temps</v>
          </cell>
          <cell r="D34"/>
          <cell r="E34"/>
          <cell r="F34"/>
          <cell r="G34"/>
          <cell r="I34" t="str">
            <v>OTSCIS.1.1</v>
          </cell>
          <cell r="J34" t="str">
            <v>Regrouper des objets en familles et lignées.</v>
          </cell>
          <cell r="K34" t="str">
            <v>OTSCIS.1.1.1</v>
          </cell>
          <cell r="L34" t="str">
            <v xml:space="preserve">L’évolution des objets. </v>
          </cell>
        </row>
        <row r="35">
          <cell r="B35" t="str">
            <v>CT 7.1</v>
          </cell>
          <cell r="C35" t="str">
            <v>► Regrouper des objets en familles et lignées.</v>
          </cell>
          <cell r="D35"/>
          <cell r="E35" t="str">
            <v>OTSCIS.1.1</v>
          </cell>
          <cell r="F35"/>
          <cell r="G35"/>
          <cell r="I35"/>
          <cell r="J35"/>
          <cell r="K35" t="str">
            <v>OTSCIS.1.1.2</v>
          </cell>
          <cell r="L35" t="str">
            <v xml:space="preserve">Impacts sociétaux et environnementaux dus aux objets. </v>
          </cell>
        </row>
        <row r="36">
          <cell r="B36" t="str">
            <v>CT 7.2</v>
          </cell>
          <cell r="C36" t="str">
            <v xml:space="preserve">► Relier les évolutions technologiques aux inventions et innovations qui marquent des ruptures dans les solutions techniques. </v>
          </cell>
          <cell r="D36"/>
          <cell r="E36" t="str">
            <v>OTSCIS.1.2</v>
          </cell>
          <cell r="F36"/>
          <cell r="G36"/>
          <cell r="I36"/>
          <cell r="J36"/>
          <cell r="K36" t="str">
            <v>OTSCIS.1.1.3</v>
          </cell>
          <cell r="L36" t="str">
            <v xml:space="preserve">Cycle de vie. </v>
          </cell>
        </row>
        <row r="37">
          <cell r="I37"/>
          <cell r="J37"/>
          <cell r="K37" t="str">
            <v>OTSCIS.1.1.4</v>
          </cell>
          <cell r="L37" t="str">
            <v>Les règles d’un usage raisonné des objets communicants respectant la propriété intellectuelle et l’intégrité d’autrui.</v>
          </cell>
        </row>
        <row r="38">
          <cell r="B38" t="str">
            <v>Les compétences suivantes, spécifiques au programme de technologie, ne sont pas citées dans le tableau des compétences travaillées mais elles permettent néanmoins de travailler certaines compétences du socle commun.</v>
          </cell>
          <cell r="C38"/>
          <cell r="I38" t="str">
            <v>OTSCIS.1.2</v>
          </cell>
          <cell r="J38" t="str">
            <v xml:space="preserve">Relier les évolutions technologiques aux inventions et innovations qui marquent des ruptures dans les solutions techniques. </v>
          </cell>
          <cell r="K38"/>
          <cell r="L38"/>
        </row>
        <row r="39">
          <cell r="B39" t="str">
            <v>Compétences spécifiques au programme de technologie</v>
          </cell>
          <cell r="C39"/>
          <cell r="D39"/>
          <cell r="E39"/>
          <cell r="F39"/>
          <cell r="G39"/>
          <cell r="I39" t="str">
            <v>OTSCIS.1.3</v>
          </cell>
          <cell r="J39" t="str">
            <v>Comparer et commenter les évolutions des objets en articulant différents points de vue : fonctionnel, structurel, environnemental, technique, scientifique, social, historique, économique.</v>
          </cell>
          <cell r="K39"/>
          <cell r="L39"/>
        </row>
        <row r="40">
          <cell r="B40" t="str">
            <v>CS 1.5</v>
          </cell>
          <cell r="C40" t="str">
            <v>► Respecter une procédure de travail garantissant un résultat en respectant les règles de sécurité et d’utilisation des outils mis à disposition.</v>
          </cell>
          <cell r="D40"/>
          <cell r="E40"/>
          <cell r="F40" t="str">
            <v>MSOST.1.1</v>
          </cell>
          <cell r="G40"/>
          <cell r="I40" t="str">
            <v>OTSCIS.1.4</v>
          </cell>
          <cell r="J40" t="str">
            <v>Élaborer un document qui synthétise ces comparaisons et ces commentaires.</v>
          </cell>
          <cell r="K40" t="str">
            <v>OTSCIS.1.4.1</v>
          </cell>
          <cell r="L40" t="str">
            <v xml:space="preserve">Outils numériques de présentation. </v>
          </cell>
        </row>
        <row r="41">
          <cell r="B41" t="str">
            <v>CS 1.6</v>
          </cell>
          <cell r="C41" t="str">
            <v>► Analyser le fonctionnement et la structure d’un objet, identifier les entrées et sorties.</v>
          </cell>
          <cell r="D41"/>
          <cell r="E41"/>
          <cell r="F41" t="str">
            <v>MSOST.1.3</v>
          </cell>
          <cell r="G41"/>
          <cell r="I41"/>
          <cell r="J41"/>
          <cell r="K41" t="str">
            <v>OTSCIS.1.4.2</v>
          </cell>
          <cell r="L41" t="str">
            <v>Charte graphique.</v>
          </cell>
        </row>
        <row r="42">
          <cell r="B42" t="str">
            <v>CS 1.7</v>
          </cell>
          <cell r="C42" t="str">
            <v>► Interpréter des résultats expérimentaux, en tirer une conclusion et la communiquer en argumentant.</v>
          </cell>
          <cell r="D42"/>
          <cell r="E42"/>
          <cell r="F42" t="str">
            <v>MSOST.1.7</v>
          </cell>
          <cell r="G42"/>
          <cell r="I42" t="str">
            <v>OTSCIS.2</v>
          </cell>
          <cell r="J42" t="str">
            <v>Exprimer sa pensée à l’aide d’outils de description adaptés</v>
          </cell>
          <cell r="K42"/>
          <cell r="L42"/>
        </row>
        <row r="43">
          <cell r="B43" t="str">
            <v>CS 1.8</v>
          </cell>
          <cell r="C43" t="str">
            <v>► Utiliser une modélisation pour comprendre, formaliser, partager, construire, investiguer, prouver.</v>
          </cell>
          <cell r="D43"/>
          <cell r="E43"/>
          <cell r="F43" t="str">
            <v>MSOST.2.1</v>
          </cell>
          <cell r="G43"/>
          <cell r="I43" t="str">
            <v>OTSCIS.2.1</v>
          </cell>
          <cell r="J43" t="str">
            <v xml:space="preserve">Exprimer sa pensée à l’aide d’outils de description adaptés : croquis, schémas, graphes, diagrammes, tableaux. </v>
          </cell>
          <cell r="K43" t="str">
            <v>OTSCIS.2.1.1</v>
          </cell>
          <cell r="L43" t="str">
            <v xml:space="preserve">Croquis à main levée. </v>
          </cell>
        </row>
        <row r="44">
          <cell r="B44"/>
          <cell r="C44"/>
          <cell r="D44"/>
          <cell r="E44"/>
          <cell r="F44"/>
          <cell r="G44"/>
          <cell r="I44"/>
          <cell r="J44"/>
          <cell r="K44" t="str">
            <v>OTSCIS.2.1.2</v>
          </cell>
          <cell r="L44" t="str">
            <v xml:space="preserve">Différents schémas. </v>
          </cell>
        </row>
        <row r="45">
          <cell r="B45" t="str">
            <v>CS 5.6</v>
          </cell>
          <cell r="C45" t="str">
            <v>► Comprendre le fonctionnement d’un réseau informatique.</v>
          </cell>
          <cell r="D45"/>
          <cell r="E45"/>
          <cell r="F45"/>
          <cell r="G45" t="str">
            <v>IP.1.1</v>
          </cell>
          <cell r="I45"/>
          <cell r="J45"/>
          <cell r="K45" t="str">
            <v>OTSCIS.2.1.3</v>
          </cell>
          <cell r="L45" t="str">
            <v xml:space="preserve">Carte heuristique. </v>
          </cell>
        </row>
        <row r="46">
          <cell r="B46" t="str">
            <v>CS 5.7</v>
          </cell>
          <cell r="C46" t="str">
            <v>► Analyser le comportement attendu d’un système réel et décomposer le problème posé en sous-problèmes afin de structurer un programme de commande.</v>
          </cell>
          <cell r="D46"/>
          <cell r="E46"/>
          <cell r="F46"/>
          <cell r="G46" t="str">
            <v>IP.2.1</v>
          </cell>
          <cell r="I46"/>
          <cell r="J46"/>
          <cell r="K46" t="str">
            <v>OTSCIS.2.1.4</v>
          </cell>
          <cell r="L46" t="str">
            <v>Notion d’algorithme.</v>
          </cell>
        </row>
        <row r="47">
          <cell r="I47" t="str">
            <v>OTSCIS.2.2</v>
          </cell>
          <cell r="J47" t="str">
            <v>Lire, utiliser et produire, à l’aide d’outils de représentation numérique, des choix de solutions sous forme de dessins ou de schémas.</v>
          </cell>
          <cell r="K47" t="str">
            <v>OTSCIS.2.2.1</v>
          </cell>
          <cell r="L47" t="str">
            <v>Outils numériques de description des objets techniques.</v>
          </cell>
        </row>
        <row r="50">
          <cell r="J50" t="str">
            <v xml:space="preserve">La modélisation et la simulation des objets et systèmes techniques </v>
          </cell>
          <cell r="K50"/>
          <cell r="L50"/>
        </row>
        <row r="51">
          <cell r="J51" t="str">
            <v>Attendus de fin de cycle</v>
          </cell>
          <cell r="K51"/>
          <cell r="L51"/>
        </row>
        <row r="52">
          <cell r="J52" t="str">
            <v>Analyser le fonctionnement et la structure d’un objet.</v>
          </cell>
          <cell r="K52"/>
          <cell r="L52"/>
        </row>
        <row r="53">
          <cell r="J53" t="str">
            <v>Utiliser une modélisation et simuler le comportement d’un objet.</v>
          </cell>
          <cell r="K53"/>
          <cell r="L53"/>
        </row>
        <row r="54">
          <cell r="I54"/>
          <cell r="J54" t="str">
            <v>Compétences</v>
          </cell>
          <cell r="K54"/>
          <cell r="L54" t="str">
            <v xml:space="preserve">Connaissances </v>
          </cell>
        </row>
        <row r="55">
          <cell r="I55" t="str">
            <v>MSOST.1</v>
          </cell>
          <cell r="J55" t="str">
            <v>Analyser le fonctionnement et la structure d’un objet</v>
          </cell>
          <cell r="K55"/>
          <cell r="L55"/>
        </row>
        <row r="56">
          <cell r="I56" t="str">
            <v>MSOST.1.1</v>
          </cell>
          <cell r="J56" t="str">
            <v>Respecter une procédure de travail garantissant un résultat en respectant les règles de sécurité et d’utilisation des outils mis à disposition.</v>
          </cell>
          <cell r="K56" t="str">
            <v>MSOST.1.1.1</v>
          </cell>
          <cell r="L56" t="str">
            <v xml:space="preserve">Procédures, protocoles. </v>
          </cell>
        </row>
        <row r="57">
          <cell r="I57"/>
          <cell r="J57"/>
          <cell r="K57" t="str">
            <v>MSOST.1.1.2</v>
          </cell>
          <cell r="L57" t="str">
            <v>Ergonomie.</v>
          </cell>
        </row>
        <row r="58">
          <cell r="I58" t="str">
            <v>MSOST.1.2</v>
          </cell>
          <cell r="J58" t="str">
            <v>Associer des solutions techniques à des fonctions.</v>
          </cell>
          <cell r="K58" t="str">
            <v>MSOST.1.2.1</v>
          </cell>
          <cell r="L58" t="str">
            <v>Analyse fonctionnelle systémique.</v>
          </cell>
        </row>
        <row r="59">
          <cell r="I59" t="str">
            <v>MSOST.1.3</v>
          </cell>
          <cell r="J59" t="str">
            <v>Analyser le fonctionnement et la structure d’un objet, identifier les entrées et sorties.</v>
          </cell>
          <cell r="K59" t="str">
            <v>MSOST.1.3.1</v>
          </cell>
          <cell r="L59" t="str">
            <v xml:space="preserve">Représentation fonctionnelle des systèmes. </v>
          </cell>
        </row>
        <row r="60">
          <cell r="I60"/>
          <cell r="J60"/>
          <cell r="K60" t="str">
            <v>MSOST.1.3.2</v>
          </cell>
          <cell r="L60" t="str">
            <v xml:space="preserve">Structure des systèmes. </v>
          </cell>
        </row>
        <row r="61">
          <cell r="I61"/>
          <cell r="J61"/>
          <cell r="K61" t="str">
            <v>MSOST.1.3.3</v>
          </cell>
          <cell r="L61" t="str">
            <v>Chaîne d’énergie.</v>
          </cell>
        </row>
        <row r="62">
          <cell r="I62"/>
          <cell r="J62"/>
          <cell r="K62" t="str">
            <v>MSOST.1.3.4</v>
          </cell>
          <cell r="L62" t="str">
            <v>Chaîne d’information.</v>
          </cell>
        </row>
        <row r="63">
          <cell r="I63" t="str">
            <v>MSOST.1.4</v>
          </cell>
          <cell r="J63" t="str">
            <v>Identifier le(s) matériau(x), les flux d’énergie et d’information sur un objet et décrire les transformations qui s’opèrent.</v>
          </cell>
          <cell r="K63" t="str">
            <v>MSOST.1.4.1</v>
          </cell>
          <cell r="L63" t="str">
            <v xml:space="preserve">Familles de matériaux avec leurs principales caractéristiques. </v>
          </cell>
        </row>
        <row r="64">
          <cell r="I64"/>
          <cell r="J64"/>
          <cell r="K64" t="str">
            <v>MSOST.1.4.2</v>
          </cell>
          <cell r="L64" t="str">
            <v xml:space="preserve">Sources d’énergies. </v>
          </cell>
        </row>
        <row r="65">
          <cell r="I65"/>
          <cell r="J65"/>
          <cell r="K65" t="str">
            <v>MSOST.1.4.3</v>
          </cell>
          <cell r="L65" t="str">
            <v xml:space="preserve">Chaîne d’énergie. </v>
          </cell>
        </row>
        <row r="66">
          <cell r="I66"/>
          <cell r="J66"/>
          <cell r="K66" t="str">
            <v>MSOST.1.4.4</v>
          </cell>
          <cell r="L66" t="str">
            <v>Chaîne d’information.</v>
          </cell>
        </row>
        <row r="67">
          <cell r="I67" t="str">
            <v>MSOST.1.5</v>
          </cell>
          <cell r="J67" t="str">
            <v>Décrire, en utilisant les outils et langages de descriptions adaptés, le fonctionnement, la structure et le comportement des objets.</v>
          </cell>
          <cell r="K67" t="str">
            <v>MSOST.1.5.1</v>
          </cell>
          <cell r="L67" t="str">
            <v>Outils de description d’un fonctionnement, d’une structure et d’un comportement.</v>
          </cell>
        </row>
        <row r="68">
          <cell r="I68" t="str">
            <v>MSOST.1.6</v>
          </cell>
          <cell r="J68" t="str">
            <v xml:space="preserve">Mesurer des grandeurs de manière directe ou indirecte. </v>
          </cell>
          <cell r="K68" t="str">
            <v>MSOST.1.6.1</v>
          </cell>
          <cell r="L68" t="str">
            <v xml:space="preserve">Instruments de mesure usuels. </v>
          </cell>
        </row>
        <row r="69">
          <cell r="I69"/>
          <cell r="J69"/>
          <cell r="K69" t="str">
            <v>MSOST.1.6.2</v>
          </cell>
          <cell r="L69" t="str">
            <v xml:space="preserve">Principe de fonctionnement d’un capteur, d’un codeur, d’un détecteur. </v>
          </cell>
        </row>
        <row r="70">
          <cell r="I70"/>
          <cell r="J70"/>
          <cell r="K70" t="str">
            <v>MSOST.1.6.3</v>
          </cell>
          <cell r="L70" t="str">
            <v xml:space="preserve">Nature du signal : analogique ou numérique. </v>
          </cell>
        </row>
        <row r="71">
          <cell r="I71"/>
          <cell r="J71"/>
          <cell r="K71" t="str">
            <v>MSOST.1.6.4</v>
          </cell>
          <cell r="L71" t="str">
            <v>Nature d’une information : logique ou analogique.</v>
          </cell>
        </row>
        <row r="72">
          <cell r="I72" t="str">
            <v>MSOST.1.7</v>
          </cell>
          <cell r="J72" t="str">
            <v>Interpréter des résultats expérimentaux, en tirer une conclusion et la communiquer en argumentant.</v>
          </cell>
          <cell r="K72" t="str">
            <v>MSOST.1.7.1</v>
          </cell>
          <cell r="L72" t="str">
            <v>Notions d’écarts entre les attentes fixées par le cahier des charges et les résultats de l’expérimentation.</v>
          </cell>
        </row>
        <row r="73">
          <cell r="I73" t="str">
            <v>MSOST.2</v>
          </cell>
          <cell r="J73" t="str">
            <v>Utiliser une modélisation et simuler le comportement d’un objet</v>
          </cell>
          <cell r="K73"/>
          <cell r="L73"/>
        </row>
        <row r="74">
          <cell r="I74" t="str">
            <v>MSOST.2.1</v>
          </cell>
          <cell r="J74" t="str">
            <v>Utiliser une modélisation pour comprendre, formaliser, partager, construire, investiguer, prouver.</v>
          </cell>
          <cell r="K74" t="str">
            <v>MSOST.2.1.1</v>
          </cell>
          <cell r="L74" t="str">
            <v xml:space="preserve">Outils de description d’un fonctionnement, d’une structure et d’un comportement. </v>
          </cell>
        </row>
        <row r="75">
          <cell r="I75" t="str">
            <v>MSOST.2.2</v>
          </cell>
          <cell r="J75" t="str">
            <v>Simuler numériquement la structure et/ou le comportement d’un objet. Interpréter le comportement de l’objet technique et le communiquer en argumentant.</v>
          </cell>
          <cell r="K75" t="str">
            <v>MSOST.2.2.1</v>
          </cell>
          <cell r="L75" t="str">
            <v>Notions d’écarts entre les attentes fixées par le cahier des charges et les résultats de la simulation.</v>
          </cell>
        </row>
        <row r="78">
          <cell r="J78" t="str">
            <v>L’informatique et la programmation</v>
          </cell>
          <cell r="K78"/>
          <cell r="L78"/>
        </row>
        <row r="79">
          <cell r="J79" t="str">
            <v>Attendus de fin de cycle</v>
          </cell>
          <cell r="K79"/>
          <cell r="L79"/>
        </row>
        <row r="80">
          <cell r="J80" t="str">
            <v>Comprendre le fonctionnement d’un réseau informatique.</v>
          </cell>
          <cell r="K80"/>
          <cell r="L80"/>
        </row>
        <row r="81">
          <cell r="J81" t="str">
            <v>Écrire, mettre au point et exécuter un programme.</v>
          </cell>
          <cell r="K81"/>
          <cell r="L81"/>
        </row>
        <row r="82">
          <cell r="J82" t="str">
            <v>Compétences</v>
          </cell>
          <cell r="K82"/>
          <cell r="L82" t="str">
            <v xml:space="preserve">Connaissances </v>
          </cell>
        </row>
        <row r="83">
          <cell r="I83" t="str">
            <v>IP.1</v>
          </cell>
          <cell r="J83" t="str">
            <v>Comprendre le fonctionnement d’un réseau informatique</v>
          </cell>
          <cell r="K83"/>
          <cell r="L83"/>
        </row>
        <row r="84">
          <cell r="I84" t="str">
            <v>IP.1.1</v>
          </cell>
          <cell r="J84" t="str">
            <v>Comprendre le fonctionnement d'un réseau informatique</v>
          </cell>
          <cell r="K84" t="str">
            <v>IP.1.1.1</v>
          </cell>
          <cell r="L84" t="str">
            <v xml:space="preserve">Composants d'un réseau, architecture d'un réseau local, moyens de connexion d’un moyen informatique. </v>
          </cell>
        </row>
        <row r="85">
          <cell r="I85"/>
          <cell r="J85"/>
          <cell r="K85" t="str">
            <v>IP.1.1.2</v>
          </cell>
          <cell r="L85" t="str">
            <v>Notion de protocole, d'organisation de protocoles en couche, d'algorithme de routage, Internet.</v>
          </cell>
        </row>
        <row r="86">
          <cell r="I86" t="str">
            <v>IP.2</v>
          </cell>
          <cell r="J86" t="str">
            <v>Écrire, mettre au point et exécuter un programme</v>
          </cell>
          <cell r="K86"/>
          <cell r="L86"/>
        </row>
        <row r="87">
          <cell r="I87" t="str">
            <v>IP.2.1</v>
          </cell>
          <cell r="J87" t="str">
            <v>Analyser le comportement attendu d’un système réel et décomposer le problème posé en sous-problèmes afin de structurer un programme de commande.</v>
          </cell>
          <cell r="K87"/>
          <cell r="L87"/>
        </row>
        <row r="88">
          <cell r="I88" t="str">
            <v>IP.2.2</v>
          </cell>
          <cell r="J88" t="str">
            <v>Écrire, mettre au point (tester, corriger) et exécuter un programme commandant un système réel et vérifier le comportement attendu.</v>
          </cell>
          <cell r="K88"/>
          <cell r="L88"/>
        </row>
        <row r="89">
          <cell r="I89" t="str">
            <v>IP.2.3</v>
          </cell>
          <cell r="J89" t="str">
            <v>Écrire un programme dans lequel des actions sont déclenchées par des événements extérieurs.</v>
          </cell>
          <cell r="K89" t="str">
            <v>IP.2.3.1</v>
          </cell>
          <cell r="L89" t="str">
            <v xml:space="preserve">Notions d’algorithme et de programme. </v>
          </cell>
        </row>
        <row r="90">
          <cell r="I90"/>
          <cell r="J90"/>
          <cell r="K90" t="str">
            <v>IP.2.3.2</v>
          </cell>
          <cell r="L90" t="str">
            <v xml:space="preserve">Notion de variable informatique. </v>
          </cell>
        </row>
        <row r="91">
          <cell r="I91"/>
          <cell r="J91"/>
          <cell r="K91" t="str">
            <v>IP.2.3.3</v>
          </cell>
          <cell r="L91" t="str">
            <v xml:space="preserve">Déclenchement d'une action par un événement, séquences d'instructions, boucles, instructions conditionnelles. </v>
          </cell>
        </row>
        <row r="92">
          <cell r="I92"/>
          <cell r="J92"/>
          <cell r="K92" t="str">
            <v>IP.2.3.4</v>
          </cell>
          <cell r="L92" t="str">
            <v xml:space="preserve">Systèmes embarqués. </v>
          </cell>
        </row>
        <row r="93">
          <cell r="I93"/>
          <cell r="J93"/>
          <cell r="K93" t="str">
            <v>IP.2.3.5</v>
          </cell>
          <cell r="L93" t="str">
            <v xml:space="preserve">Forme et transmission du signal. </v>
          </cell>
        </row>
        <row r="94">
          <cell r="I94"/>
          <cell r="J94"/>
          <cell r="K94" t="str">
            <v>IP.2.3.6</v>
          </cell>
          <cell r="L94" t="str">
            <v>Capteur, actionneur, interface.</v>
          </cell>
        </row>
      </sheetData>
      <sheetData sheetId="3">
        <row r="1">
          <cell r="D1" t="str">
            <v>Chronologie dans la progression</v>
          </cell>
          <cell r="F1" t="str">
            <v xml:space="preserve"> Imaginer, synthétiser, formaliser et respecter une procédure, un protocole. </v>
          </cell>
          <cell r="G1" t="str">
            <v xml:space="preserve">Mesurer des grandeurs de manière directe ou indirecte. </v>
          </cell>
          <cell r="H1" t="str">
            <v xml:space="preserve">Rechercher des solutions techniques à un problème posé, expliciter ses choix et les communiquer en argumentant. </v>
          </cell>
          <cell r="I1" t="str">
            <v>Participer à l’organisation et au déroulement de projets.</v>
          </cell>
          <cell r="J1" t="str">
            <v>Respecter une procédure de travail garantissant un résultat en respectant les règles de sécurité et d’utilisation des outils mis à disposition.</v>
          </cell>
          <cell r="K1" t="str">
            <v>Analyser le fonctionnement et la structure d’un objet, identifier les entrées et sorties.</v>
          </cell>
          <cell r="L1" t="str">
            <v>Interpréter des résultats expérimentaux, en tirer une conclusion et la communiquer en argumentant.</v>
          </cell>
          <cell r="M1" t="str">
            <v>Utiliser une modélisation pour comprendre, formaliser, partager, construire, investiguer, prouver.</v>
          </cell>
          <cell r="N1" t="str">
            <v>Identifier un besoin et énoncer un problème technique, identifier les conditions, contraintes (normes et règlements) et ressources correspondantes.</v>
          </cell>
          <cell r="O1" t="str">
            <v>Identifier le(s) matériau(x), les flux d’énergie et d’information dans le cadre d’une production technique sur un objet et décrire les transformations qui s’opèrent.</v>
          </cell>
          <cell r="P1" t="str">
            <v>S’approprier un cahier des charges.</v>
          </cell>
          <cell r="Q1" t="str">
            <v>Associer des solutions techniques à des fonctions.</v>
          </cell>
          <cell r="R1" t="str">
            <v>Imaginer des solutions en réponse au besoin.</v>
          </cell>
          <cell r="S1" t="str">
            <v>Réaliser, de manière collaborative, le prototype de tout ou partie d’un objet pour valider une solution.</v>
          </cell>
          <cell r="T1" t="str">
            <v>Imaginer, concevoir et programmer des applications informatiques nomades.</v>
          </cell>
          <cell r="U1" t="str">
            <v>Exprimer sa pensée à l’aide d’outils de description adaptés : croquis, schémas, graphes, diagrammes, tableaux (représentations non normées).</v>
          </cell>
          <cell r="V1" t="str">
            <v>Traduire, à l’aide d’outils de représentation numérique, des choix de solutions sous forme de croquis, de dessins ou de schémas.</v>
          </cell>
          <cell r="W1" t="str">
            <v>Présenter à l’oral et à l’aide de supports numériques multimédia des solutions techniques au moment des revues de projet.</v>
          </cell>
          <cell r="X1" t="str">
            <v>Décrire, en utilisant les outils et langages de descriptions adaptés, la structure et le comportement des objets.</v>
          </cell>
          <cell r="Y1" t="str">
            <v>Appliquer les principes élémentaires de l’algorithmique et du codage à la résolution d’un problème simple.</v>
          </cell>
          <cell r="Z1" t="str">
            <v>Simuler numériquement la structure et/ou le comportement d’un objet.</v>
          </cell>
          <cell r="AA1" t="str">
            <v>Organiser, structurer et stocker des ressources numériques.</v>
          </cell>
          <cell r="AB1" t="str">
            <v>Lire, utiliser et produire des représentations numériques d’objets.</v>
          </cell>
          <cell r="AC1" t="str">
            <v>Piloter un système connecté localement ou à distance.</v>
          </cell>
          <cell r="AD1" t="str">
            <v>Modifier ou paramétrer le fonctionnement d’un objet communicant.</v>
          </cell>
          <cell r="AE1" t="str">
            <v>Comprendre le fonctionnement d’un réseau informatique</v>
          </cell>
          <cell r="AF1" t="str">
            <v>Analyser le comportement attendu d’un système réel et décomposer le problème posé en sous-problèmes afin de structurer un programme de commande.</v>
          </cell>
          <cell r="AG1" t="str">
            <v>Développer les bonnes pratiques de l’usage des objets communicants.</v>
          </cell>
          <cell r="AH1" t="str">
            <v>Analyser l’impact environnemental d’un objet et de ses constituants.</v>
          </cell>
          <cell r="AI1" t="str">
            <v>Analyser le cycle de vie d’un objet.</v>
          </cell>
          <cell r="AJ1" t="str">
            <v>Regrouper des objets en familles et lignées.</v>
          </cell>
          <cell r="AK1" t="str">
            <v xml:space="preserve">Relier les évolutions technologiques aux inventions et innovations qui marquent des ruptures dans les solutions techniques. </v>
          </cell>
        </row>
        <row r="2">
          <cell r="D2"/>
          <cell r="F2" t="str">
            <v>CT 1.1</v>
          </cell>
          <cell r="G2" t="str">
            <v>CT 1.2</v>
          </cell>
          <cell r="H2" t="str">
            <v>CT 1.3</v>
          </cell>
          <cell r="I2" t="str">
            <v>CT 1.4</v>
          </cell>
          <cell r="J2" t="str">
            <v>CS 1.5</v>
          </cell>
          <cell r="K2" t="str">
            <v>CS 1.6</v>
          </cell>
          <cell r="L2" t="str">
            <v>CS 1.7</v>
          </cell>
          <cell r="M2" t="str">
            <v>CS 1.8</v>
          </cell>
          <cell r="N2" t="str">
            <v>CT 2.1</v>
          </cell>
          <cell r="O2" t="str">
            <v>CT 2.2</v>
          </cell>
          <cell r="P2" t="str">
            <v>CT 2.3</v>
          </cell>
          <cell r="Q2" t="str">
            <v>CT 2.4</v>
          </cell>
          <cell r="R2" t="str">
            <v>CT 2.5</v>
          </cell>
          <cell r="S2" t="str">
            <v>CT 2.6</v>
          </cell>
          <cell r="T2" t="str">
            <v>CT 2.7</v>
          </cell>
          <cell r="U2" t="str">
            <v>CT 3.1</v>
          </cell>
          <cell r="V2" t="str">
            <v>CT 3.2</v>
          </cell>
          <cell r="W2" t="str">
            <v>CT 3.3</v>
          </cell>
          <cell r="X2" t="str">
            <v>CT 4.1</v>
          </cell>
          <cell r="Y2" t="str">
            <v>CT 4.2</v>
          </cell>
          <cell r="Z2" t="str">
            <v>CT 5.1</v>
          </cell>
          <cell r="AA2" t="str">
            <v>CT 5.2</v>
          </cell>
          <cell r="AB2" t="str">
            <v>CT 5.3</v>
          </cell>
          <cell r="AC2" t="str">
            <v>CT 5.4</v>
          </cell>
          <cell r="AD2" t="str">
            <v>CT 5.5</v>
          </cell>
          <cell r="AE2" t="str">
            <v>CS 5.6</v>
          </cell>
          <cell r="AF2" t="str">
            <v>CS 5.7</v>
          </cell>
          <cell r="AG2" t="str">
            <v>CT 6.1</v>
          </cell>
          <cell r="AH2" t="str">
            <v>CT 6.2</v>
          </cell>
          <cell r="AI2" t="str">
            <v>CT 6.3</v>
          </cell>
          <cell r="AJ2" t="str">
            <v>CT 7.1</v>
          </cell>
          <cell r="AK2" t="str">
            <v>CT 7.2</v>
          </cell>
        </row>
        <row r="3">
          <cell r="A3" t="str">
            <v>Nombre de séquences où la compétence est travaillée</v>
          </cell>
          <cell r="B3"/>
          <cell r="C3"/>
          <cell r="D3"/>
        </row>
        <row r="4">
          <cell r="A4" t="str">
            <v>1) Stabilité d'une structure</v>
          </cell>
          <cell r="B4" t="str">
            <v>Pourquoi une construction treillis permet-elle de franchir un obstacle sans danger ?</v>
          </cell>
          <cell r="C4"/>
          <cell r="D4" t="str">
            <v>s1</v>
          </cell>
        </row>
        <row r="5">
          <cell r="A5"/>
          <cell r="B5" t="str">
            <v>Comment utiliser la simulation pour effectuer les choix de solutions techniques?</v>
          </cell>
          <cell r="C5"/>
          <cell r="D5" t="str">
            <v>s9</v>
          </cell>
        </row>
        <row r="6">
          <cell r="A6"/>
          <cell r="B6"/>
          <cell r="C6"/>
          <cell r="D6"/>
        </row>
        <row r="7">
          <cell r="A7"/>
          <cell r="B7"/>
          <cell r="C7"/>
          <cell r="D7"/>
        </row>
        <row r="8">
          <cell r="A8"/>
          <cell r="B8"/>
          <cell r="C8"/>
          <cell r="D8"/>
        </row>
        <row r="9">
          <cell r="A9"/>
          <cell r="B9"/>
          <cell r="C9"/>
          <cell r="D9"/>
        </row>
        <row r="10">
          <cell r="A10"/>
          <cell r="B10"/>
          <cell r="C10"/>
          <cell r="D10"/>
        </row>
        <row r="11">
          <cell r="A11"/>
          <cell r="B11"/>
          <cell r="C11"/>
          <cell r="D11"/>
        </row>
        <row r="12">
          <cell r="A12" t="str">
            <v>2) Franchir un obstacle</v>
          </cell>
          <cell r="B12" t="str">
            <v>Comment intégrer un ouvrage dans son environnement ?</v>
          </cell>
          <cell r="C12"/>
          <cell r="D12" t="str">
            <v>s2</v>
          </cell>
        </row>
        <row r="13">
          <cell r="A13"/>
          <cell r="B13"/>
          <cell r="C13"/>
          <cell r="D13"/>
        </row>
        <row r="14">
          <cell r="A14"/>
          <cell r="B14"/>
          <cell r="C14"/>
          <cell r="D14"/>
        </row>
        <row r="15">
          <cell r="A15"/>
          <cell r="B15"/>
          <cell r="C15"/>
          <cell r="D15"/>
        </row>
        <row r="16">
          <cell r="A16"/>
          <cell r="B16"/>
          <cell r="C16"/>
          <cell r="D16"/>
        </row>
        <row r="17">
          <cell r="A17"/>
          <cell r="B17"/>
          <cell r="C17"/>
          <cell r="D17"/>
        </row>
        <row r="18">
          <cell r="A18"/>
          <cell r="B18"/>
          <cell r="C18"/>
          <cell r="D18"/>
        </row>
        <row r="19">
          <cell r="A19"/>
          <cell r="B19"/>
          <cell r="C19"/>
          <cell r="D19"/>
        </row>
        <row r="20">
          <cell r="A20" t="str">
            <v>3) Assurer le confort dans un milieu urbain</v>
          </cell>
          <cell r="B20" t="str">
            <v>Comment une alarme intéragit avec son environnement ?</v>
          </cell>
          <cell r="C20"/>
          <cell r="D20" t="str">
            <v>s12</v>
          </cell>
        </row>
        <row r="21">
          <cell r="A21"/>
          <cell r="B21" t="str">
            <v>comment adapter un éclairage urbain dans son contexte ?</v>
          </cell>
          <cell r="C21"/>
          <cell r="D21" t="str">
            <v>s13</v>
          </cell>
        </row>
        <row r="22">
          <cell r="A22"/>
          <cell r="B22" t="str">
            <v>Quel éclairage pour demain ?</v>
          </cell>
          <cell r="C22"/>
          <cell r="D22" t="str">
            <v>s10</v>
          </cell>
        </row>
        <row r="23">
          <cell r="A23"/>
          <cell r="B23" t="str">
            <v>Comment gérer les contraintes de conception d'un système domotique ?</v>
          </cell>
          <cell r="C23"/>
          <cell r="D23" t="str">
            <v>s16</v>
          </cell>
        </row>
        <row r="24">
          <cell r="A24"/>
          <cell r="B24"/>
          <cell r="C24"/>
          <cell r="D24"/>
        </row>
        <row r="25">
          <cell r="A25"/>
          <cell r="B25"/>
          <cell r="C25"/>
          <cell r="D25"/>
        </row>
        <row r="26">
          <cell r="A26"/>
          <cell r="B26"/>
          <cell r="C26"/>
          <cell r="D26"/>
        </row>
        <row r="27">
          <cell r="A27"/>
          <cell r="B27"/>
          <cell r="C27"/>
          <cell r="D27"/>
        </row>
        <row r="28">
          <cell r="A28" t="str">
            <v>4) Programmer un objet</v>
          </cell>
          <cell r="B28" t="str">
            <v>Comment réaliser une application androïd à destination des parents d'élève</v>
          </cell>
          <cell r="C28"/>
          <cell r="D28" t="str">
            <v>s30</v>
          </cell>
        </row>
        <row r="29">
          <cell r="A29"/>
          <cell r="B29" t="str">
            <v xml:space="preserve">Comment automatiser des tâches sur son smartphone? </v>
          </cell>
          <cell r="C29"/>
          <cell r="D29" t="str">
            <v>s29</v>
          </cell>
        </row>
        <row r="30">
          <cell r="A30"/>
          <cell r="B30" t="str">
            <v>Comment piloter par l’intermédiaire d’un Smartphone ou d’une tablette un système technique ?  N+1</v>
          </cell>
          <cell r="C30"/>
          <cell r="D30" t="str">
            <v>s24</v>
          </cell>
        </row>
        <row r="31">
          <cell r="A31"/>
          <cell r="B31" t="str">
            <v>Comment utiliser  la technologie RFID ? (ouvrir automatiquement un portail )  N</v>
          </cell>
          <cell r="C31"/>
          <cell r="D31" t="str">
            <v>s23</v>
          </cell>
        </row>
        <row r="32">
          <cell r="A32"/>
          <cell r="B32" t="str">
            <v xml:space="preserve">Comment surveiller une zone dans une habitation ? </v>
          </cell>
          <cell r="C32"/>
          <cell r="D32" t="str">
            <v>s11</v>
          </cell>
        </row>
        <row r="33">
          <cell r="A33"/>
          <cell r="B33"/>
          <cell r="C33"/>
          <cell r="D33"/>
        </row>
        <row r="34">
          <cell r="A34"/>
          <cell r="B34"/>
          <cell r="C34"/>
          <cell r="D34"/>
        </row>
        <row r="35">
          <cell r="A35"/>
          <cell r="B35"/>
          <cell r="C35"/>
          <cell r="D35"/>
        </row>
        <row r="36">
          <cell r="A36" t="str">
            <v>5) Découvrir son environnement</v>
          </cell>
          <cell r="B36" t="str">
            <v>Comment rendre une vue aérienne interactive ?</v>
          </cell>
          <cell r="C36"/>
          <cell r="D36" t="str">
            <v>s5</v>
          </cell>
        </row>
        <row r="37">
          <cell r="A37"/>
          <cell r="B37"/>
          <cell r="C37"/>
          <cell r="D37"/>
        </row>
        <row r="38">
          <cell r="A38"/>
          <cell r="B38"/>
          <cell r="C38"/>
          <cell r="D38"/>
        </row>
        <row r="39">
          <cell r="A39"/>
          <cell r="B39"/>
          <cell r="C39"/>
          <cell r="D39"/>
        </row>
        <row r="40">
          <cell r="A40"/>
          <cell r="B40"/>
          <cell r="C40"/>
          <cell r="D40"/>
        </row>
        <row r="41">
          <cell r="A41"/>
          <cell r="B41"/>
          <cell r="C41"/>
          <cell r="D41"/>
        </row>
        <row r="42">
          <cell r="A42"/>
          <cell r="B42"/>
          <cell r="C42"/>
          <cell r="D42"/>
        </row>
        <row r="43">
          <cell r="A43"/>
          <cell r="B43"/>
          <cell r="C43"/>
          <cell r="D43"/>
        </row>
        <row r="44">
          <cell r="A44" t="str">
            <v>6) Se déplacer sur terre, air, mer</v>
          </cell>
          <cell r="B44" t="str">
            <v>Quelles solutions techniques pour assurer la propulsion d'un véhicule ?</v>
          </cell>
          <cell r="C44"/>
          <cell r="D44" t="str">
            <v>s28</v>
          </cell>
        </row>
        <row r="45">
          <cell r="A45"/>
          <cell r="B45" t="str">
            <v>Comment mesurer la distance correspondante à un déplacement sur terre?</v>
          </cell>
          <cell r="C45"/>
          <cell r="D45" t="str">
            <v>s21</v>
          </cell>
        </row>
        <row r="46">
          <cell r="A46"/>
          <cell r="B46"/>
          <cell r="C46"/>
          <cell r="D46"/>
        </row>
        <row r="47">
          <cell r="A47"/>
          <cell r="B47"/>
          <cell r="C47"/>
          <cell r="D47"/>
        </row>
        <row r="48">
          <cell r="A48"/>
          <cell r="B48"/>
          <cell r="C48"/>
          <cell r="D48"/>
        </row>
        <row r="49">
          <cell r="A49"/>
          <cell r="B49"/>
          <cell r="C49"/>
          <cell r="D49"/>
        </row>
        <row r="50">
          <cell r="A50"/>
          <cell r="B50"/>
          <cell r="C50"/>
          <cell r="D50"/>
        </row>
        <row r="51">
          <cell r="A51"/>
          <cell r="B51"/>
          <cell r="C51"/>
          <cell r="D51"/>
        </row>
        <row r="52">
          <cell r="A52" t="str">
            <v>7) Préserver les ressources (économiser l'énergie et préserver l'environnement)</v>
          </cell>
          <cell r="B52" t="str">
            <v>Comment optimiser les apports solaires sur le toit d'un immeuble ? (niveau 1)</v>
          </cell>
          <cell r="C52"/>
          <cell r="D52" t="str">
            <v>s3</v>
          </cell>
        </row>
        <row r="53">
          <cell r="A53"/>
          <cell r="B53" t="str">
            <v>Comment optimiser les apports solaires sur le toit d'un immeuble ? (niveau2)</v>
          </cell>
          <cell r="C53"/>
          <cell r="D53" t="str">
            <v>s19</v>
          </cell>
        </row>
        <row r="54">
          <cell r="A54"/>
          <cell r="B54"/>
          <cell r="C54"/>
          <cell r="D54"/>
        </row>
        <row r="55">
          <cell r="A55"/>
          <cell r="B55"/>
          <cell r="C55"/>
          <cell r="D55"/>
        </row>
        <row r="56">
          <cell r="A56"/>
          <cell r="B56"/>
          <cell r="C56"/>
          <cell r="D56"/>
        </row>
        <row r="57">
          <cell r="A57"/>
          <cell r="B57"/>
          <cell r="C57"/>
          <cell r="D57"/>
        </row>
        <row r="58">
          <cell r="A58"/>
          <cell r="B58"/>
          <cell r="C58"/>
          <cell r="D58"/>
        </row>
        <row r="59">
          <cell r="A59"/>
          <cell r="B59"/>
          <cell r="C59"/>
          <cell r="D59"/>
        </row>
        <row r="60">
          <cell r="A60" t="str">
            <v>8) Acquérir et transmettre des informations ou des données</v>
          </cell>
          <cell r="B60" t="str">
            <v>Comment les ordinateurs arrivent-ils à communiquer ?</v>
          </cell>
          <cell r="C60"/>
          <cell r="D60" t="str">
            <v>s20</v>
          </cell>
        </row>
        <row r="61">
          <cell r="A61"/>
          <cell r="B61"/>
          <cell r="C61"/>
          <cell r="D61"/>
        </row>
        <row r="62">
          <cell r="A62"/>
          <cell r="B62"/>
          <cell r="C62"/>
          <cell r="D62"/>
        </row>
        <row r="63">
          <cell r="A63"/>
          <cell r="B63"/>
          <cell r="C63"/>
          <cell r="D63"/>
        </row>
        <row r="64">
          <cell r="A64"/>
          <cell r="B64"/>
          <cell r="C64"/>
          <cell r="D64"/>
        </row>
        <row r="65">
          <cell r="A65"/>
          <cell r="B65"/>
          <cell r="C65"/>
          <cell r="D65"/>
        </row>
        <row r="66">
          <cell r="A66"/>
          <cell r="B66"/>
          <cell r="C66"/>
          <cell r="D66"/>
        </row>
        <row r="67">
          <cell r="A67"/>
          <cell r="B67"/>
          <cell r="C67"/>
          <cell r="D67"/>
        </row>
        <row r="68">
          <cell r="A68" t="str">
            <v>9) Aménager un espace</v>
          </cell>
          <cell r="B68" t="str">
            <v>Comment penser 'aménagement d'un conteneur maritime pour en faire une  habitation pour étudiant ?</v>
          </cell>
          <cell r="C68"/>
          <cell r="D68" t="str">
            <v>s4</v>
          </cell>
        </row>
        <row r="69">
          <cell r="A69"/>
          <cell r="B69"/>
          <cell r="C69"/>
          <cell r="D69"/>
        </row>
        <row r="70">
          <cell r="A70"/>
          <cell r="B70"/>
          <cell r="C70"/>
          <cell r="D70"/>
        </row>
        <row r="71">
          <cell r="A71"/>
          <cell r="B71"/>
          <cell r="C71"/>
          <cell r="D71"/>
        </row>
        <row r="72">
          <cell r="A72"/>
          <cell r="B72"/>
          <cell r="C72"/>
          <cell r="D72"/>
        </row>
        <row r="73">
          <cell r="A73"/>
          <cell r="B73"/>
          <cell r="C73"/>
          <cell r="D73"/>
        </row>
        <row r="74">
          <cell r="A74"/>
          <cell r="B74"/>
          <cell r="C74"/>
          <cell r="D74"/>
        </row>
        <row r="75">
          <cell r="A75"/>
          <cell r="B75"/>
          <cell r="C75"/>
          <cell r="D75"/>
        </row>
        <row r="76">
          <cell r="A76" t="str">
            <v>10) Préserver la santé et aider l'homme</v>
          </cell>
          <cell r="B76" t="str">
            <v>comment la technologie nous informe sur notre santé ?</v>
          </cell>
          <cell r="C76"/>
          <cell r="D76" t="str">
            <v>s22</v>
          </cell>
        </row>
        <row r="77">
          <cell r="A77"/>
          <cell r="B77"/>
          <cell r="C77"/>
          <cell r="D77"/>
        </row>
        <row r="78">
          <cell r="A78"/>
          <cell r="B78"/>
          <cell r="C78"/>
          <cell r="D78"/>
        </row>
        <row r="79">
          <cell r="A79"/>
          <cell r="B79"/>
          <cell r="C79"/>
          <cell r="D79"/>
        </row>
        <row r="80">
          <cell r="A80"/>
          <cell r="B80"/>
          <cell r="C80"/>
          <cell r="D80"/>
        </row>
        <row r="81">
          <cell r="A81"/>
          <cell r="B81"/>
          <cell r="C81"/>
          <cell r="D81"/>
        </row>
        <row r="82">
          <cell r="A82"/>
          <cell r="B82"/>
          <cell r="C82"/>
          <cell r="D82"/>
        </row>
        <row r="83">
          <cell r="A83"/>
          <cell r="B83"/>
          <cell r="C83"/>
          <cell r="D83"/>
        </row>
        <row r="84">
          <cell r="A84" t="str">
            <v>11) Thème libre</v>
          </cell>
          <cell r="B84" t="str">
            <v>Problématique 1 ?</v>
          </cell>
          <cell r="C84"/>
          <cell r="D84"/>
        </row>
        <row r="85">
          <cell r="A85"/>
          <cell r="B85"/>
          <cell r="C85"/>
          <cell r="D85"/>
        </row>
        <row r="86">
          <cell r="A86"/>
          <cell r="B86"/>
          <cell r="C86"/>
          <cell r="D86"/>
        </row>
        <row r="87">
          <cell r="A87"/>
          <cell r="B87"/>
          <cell r="C87"/>
          <cell r="D87"/>
        </row>
        <row r="88">
          <cell r="A88"/>
          <cell r="B88"/>
          <cell r="C88"/>
          <cell r="D88"/>
        </row>
        <row r="89">
          <cell r="A89"/>
          <cell r="B89"/>
          <cell r="C89"/>
          <cell r="D89"/>
        </row>
        <row r="90">
          <cell r="A90"/>
          <cell r="B90"/>
          <cell r="C90"/>
          <cell r="D90"/>
        </row>
        <row r="91">
          <cell r="A91"/>
          <cell r="B91"/>
          <cell r="C91"/>
          <cell r="D91"/>
        </row>
        <row r="92">
          <cell r="A92" t="str">
            <v>12) Thème libre</v>
          </cell>
          <cell r="B92" t="str">
            <v>Problématique 1 ?</v>
          </cell>
          <cell r="C92"/>
          <cell r="D92"/>
        </row>
        <row r="93">
          <cell r="A93"/>
          <cell r="B93"/>
          <cell r="C93"/>
          <cell r="D93"/>
        </row>
        <row r="94">
          <cell r="A94"/>
          <cell r="B94"/>
          <cell r="C94"/>
          <cell r="D94"/>
        </row>
        <row r="95">
          <cell r="A95"/>
          <cell r="B95"/>
          <cell r="C95"/>
          <cell r="D95"/>
        </row>
        <row r="96">
          <cell r="A96"/>
          <cell r="B96"/>
          <cell r="C96"/>
          <cell r="D96"/>
        </row>
        <row r="97">
          <cell r="A97"/>
          <cell r="B97"/>
          <cell r="C97"/>
          <cell r="D97"/>
        </row>
        <row r="98">
          <cell r="A98"/>
          <cell r="B98"/>
          <cell r="C98"/>
          <cell r="D98"/>
        </row>
        <row r="99">
          <cell r="A99"/>
          <cell r="B99"/>
          <cell r="C99"/>
          <cell r="D99"/>
        </row>
        <row r="100">
          <cell r="A100" t="str">
            <v>13) Thème libre</v>
          </cell>
          <cell r="B100" t="str">
            <v>Problématique 1 ?</v>
          </cell>
          <cell r="C100"/>
          <cell r="D100"/>
        </row>
        <row r="101">
          <cell r="A101"/>
          <cell r="B101"/>
          <cell r="C101"/>
          <cell r="D101"/>
        </row>
        <row r="102">
          <cell r="A102"/>
          <cell r="B102"/>
          <cell r="C102"/>
          <cell r="D102"/>
        </row>
        <row r="103">
          <cell r="A103"/>
          <cell r="B103"/>
          <cell r="C103"/>
          <cell r="D103"/>
        </row>
        <row r="104">
          <cell r="A104"/>
          <cell r="B104"/>
          <cell r="C104"/>
          <cell r="D104"/>
        </row>
        <row r="105">
          <cell r="A105"/>
          <cell r="B105"/>
          <cell r="C105"/>
          <cell r="D105"/>
        </row>
        <row r="106">
          <cell r="A106"/>
          <cell r="B106"/>
          <cell r="C106"/>
          <cell r="D106"/>
        </row>
        <row r="107">
          <cell r="A107"/>
          <cell r="B107"/>
          <cell r="C107"/>
          <cell r="D107"/>
        </row>
        <row r="108">
          <cell r="A108" t="str">
            <v>Projet 1 Aménager un jardin</v>
          </cell>
          <cell r="B108" t="str">
            <v>Recherches de solutions</v>
          </cell>
          <cell r="C108"/>
          <cell r="D108" t="str">
            <v>s14</v>
          </cell>
        </row>
        <row r="109">
          <cell r="A109"/>
          <cell r="B109" t="str">
            <v>Réalisation - test et validation</v>
          </cell>
          <cell r="C109"/>
          <cell r="D109" t="str">
            <v>s15</v>
          </cell>
        </row>
        <row r="110">
          <cell r="A110" t="str">
            <v>Projet 2 L'odinateur Low Cost</v>
          </cell>
          <cell r="B110" t="str">
            <v>Recherches de solutions</v>
          </cell>
          <cell r="C110"/>
          <cell r="D110" t="str">
            <v>s17</v>
          </cell>
        </row>
        <row r="111">
          <cell r="A111"/>
          <cell r="B111" t="str">
            <v>Réalisation - test et validation</v>
          </cell>
          <cell r="C111"/>
          <cell r="D111" t="str">
            <v>s18</v>
          </cell>
        </row>
        <row r="112">
          <cell r="A112" t="str">
            <v>Projet 3 Automatiser le fonctionnement d'une serre aquaponique</v>
          </cell>
          <cell r="B112" t="str">
            <v>Recherches de solutions</v>
          </cell>
          <cell r="C112"/>
          <cell r="D112" t="str">
            <v>s6</v>
          </cell>
        </row>
        <row r="113">
          <cell r="A113"/>
          <cell r="B113" t="str">
            <v>Réalisation</v>
          </cell>
          <cell r="C113"/>
          <cell r="D113" t="str">
            <v>s7</v>
          </cell>
        </row>
        <row r="114">
          <cell r="A114"/>
          <cell r="B114" t="str">
            <v>Test et validation</v>
          </cell>
          <cell r="C114"/>
          <cell r="D114" t="str">
            <v>s8</v>
          </cell>
        </row>
        <row r="115">
          <cell r="A115" t="str">
            <v>Projet 4 Challenge robotique</v>
          </cell>
          <cell r="B115" t="str">
            <v>Appropriation du CDC et Recherches de solutions</v>
          </cell>
          <cell r="C115"/>
          <cell r="D115" t="str">
            <v>s25</v>
          </cell>
        </row>
        <row r="116">
          <cell r="A116"/>
          <cell r="B116" t="str">
            <v>Réalisation, test et validation - Présentation finale, synthèse</v>
          </cell>
          <cell r="C116"/>
          <cell r="D116" t="str">
            <v>s26</v>
          </cell>
        </row>
        <row r="117">
          <cell r="A117"/>
          <cell r="B117" t="str">
            <v>Les robots...Avancée technologique ? .. Espoir ? ..  Inquiétude ? Quels impacts sur la société ?</v>
          </cell>
          <cell r="C117"/>
          <cell r="D117" t="str">
            <v>s27</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e de l'enseignement"/>
      <sheetName val="Notice"/>
      <sheetName val="Programme"/>
      <sheetName val="Problématiques_compétences"/>
      <sheetName val="Progression_Cycle4"/>
      <sheetName val="Générateur de séquences"/>
      <sheetName val="s5"/>
    </sheetNames>
    <sheetDataSet>
      <sheetData sheetId="0"/>
      <sheetData sheetId="1"/>
      <sheetData sheetId="2">
        <row r="1">
          <cell r="B1"/>
        </row>
        <row r="2">
          <cell r="B2" t="str">
            <v xml:space="preserve">Compétences travaillées </v>
          </cell>
        </row>
        <row r="3">
          <cell r="B3">
            <v>1</v>
          </cell>
          <cell r="C3" t="str">
            <v>Pratiquer des démarches scientifiques et technologiques</v>
          </cell>
          <cell r="D3" t="str">
            <v>Design</v>
          </cell>
          <cell r="E3" t="str">
            <v>Évolution-description</v>
          </cell>
          <cell r="F3" t="str">
            <v>Modélisation</v>
          </cell>
          <cell r="G3" t="str">
            <v>Info</v>
          </cell>
        </row>
        <row r="4">
          <cell r="B4" t="str">
            <v>CT 1.1</v>
          </cell>
          <cell r="C4" t="str">
            <v xml:space="preserve">► Imaginer, synthétiser, formaliser et respecter une procédure, un protocole. </v>
          </cell>
          <cell r="D4" t="str">
            <v>DIC.1.3</v>
          </cell>
          <cell r="E4"/>
          <cell r="F4" t="str">
            <v>MSOST.1.1</v>
          </cell>
          <cell r="G4"/>
        </row>
        <row r="5">
          <cell r="B5" t="str">
            <v>CT 1.2</v>
          </cell>
          <cell r="C5" t="str">
            <v xml:space="preserve">► Mesurer des grandeurs de manière directe ou indirecte. </v>
          </cell>
          <cell r="D5"/>
          <cell r="E5"/>
          <cell r="F5" t="str">
            <v>MSOST.1.6</v>
          </cell>
          <cell r="G5"/>
        </row>
        <row r="6">
          <cell r="B6" t="str">
            <v>CT 1.3</v>
          </cell>
          <cell r="C6" t="str">
            <v xml:space="preserve">► Rechercher des solutions techniques à un problème posé, expliciter ses choix et les communiquer en argumentant. </v>
          </cell>
          <cell r="D6" t="str">
            <v>DIC.1.5</v>
          </cell>
          <cell r="E6"/>
          <cell r="F6"/>
          <cell r="G6"/>
        </row>
        <row r="7">
          <cell r="B7" t="str">
            <v>CT 1.4</v>
          </cell>
          <cell r="C7" t="str">
            <v>► Participer à l’organisation et au déroulement de projets.</v>
          </cell>
          <cell r="D7" t="str">
            <v>DIC.1.4</v>
          </cell>
          <cell r="E7"/>
          <cell r="F7"/>
          <cell r="G7"/>
          <cell r="I7" t="str">
            <v>DIC.1</v>
          </cell>
          <cell r="J7" t="str">
            <v>Imaginer des solutions en réponse aux besoins, matérialiser une idée en intégrant une dimension design</v>
          </cell>
          <cell r="K7"/>
          <cell r="L7"/>
        </row>
        <row r="8">
          <cell r="B8">
            <v>2</v>
          </cell>
          <cell r="C8" t="str">
            <v>Concevoir, créer, réaliser</v>
          </cell>
          <cell r="E8"/>
          <cell r="F8"/>
          <cell r="G8"/>
          <cell r="I8" t="str">
            <v>DIC.1.1</v>
          </cell>
          <cell r="J8" t="str">
            <v>Identifier un besoin (biens matériels ou services) et énoncer un problème technique.</v>
          </cell>
          <cell r="K8" t="str">
            <v>DIC.1.1.1</v>
          </cell>
          <cell r="L8" t="str">
            <v xml:space="preserve">Besoin, contraintes, normalisation. </v>
          </cell>
        </row>
        <row r="9">
          <cell r="B9" t="str">
            <v>CT 2.1</v>
          </cell>
          <cell r="C9" t="str">
            <v>► Identifier un besoin et énoncer un problème technique, identifier les conditions, contraintes (normes et règlements) et ressources correspondantes.</v>
          </cell>
          <cell r="D9" t="str">
            <v>DIC.1.1</v>
          </cell>
          <cell r="E9" t="str">
            <v>DIC.1.2</v>
          </cell>
          <cell r="F9"/>
          <cell r="G9"/>
          <cell r="I9" t="str">
            <v>DIC.1.2</v>
          </cell>
          <cell r="J9" t="str">
            <v>Identifier les conditions, contraintes (normes et règlements) et ressources correspondantes, qualifier et quantifier simplement les performances d’un objet technique existant ou à créer.</v>
          </cell>
          <cell r="K9" t="str">
            <v>DIC.1.2.1</v>
          </cell>
          <cell r="L9" t="str">
            <v xml:space="preserve">Principaux éléments d’un cahier des charges. </v>
          </cell>
        </row>
        <row r="10">
          <cell r="B10"/>
          <cell r="C10"/>
          <cell r="D10" t="str">
            <v>DIC.1.2</v>
          </cell>
          <cell r="E10"/>
          <cell r="F10"/>
          <cell r="G10"/>
          <cell r="I10"/>
          <cell r="J10"/>
          <cell r="K10"/>
          <cell r="L10"/>
        </row>
        <row r="11">
          <cell r="B11" t="str">
            <v>CT 2.2</v>
          </cell>
          <cell r="C11" t="str">
            <v>► Identifier le(s) matériau(x), les flux d’énergie et d’information dans le cadre d’une production technique sur un objet et décrire les transformations qui s’opèrent.</v>
          </cell>
          <cell r="D11"/>
          <cell r="E11"/>
          <cell r="F11" t="str">
            <v>MSOST.1.4</v>
          </cell>
          <cell r="G11"/>
          <cell r="I11" t="str">
            <v>DIC.1.3</v>
          </cell>
          <cell r="J11" t="str">
            <v xml:space="preserve">Imaginer, synthétiser et formaliser une procédure, un protocole. </v>
          </cell>
          <cell r="K11" t="str">
            <v>DIC.1.3.1</v>
          </cell>
          <cell r="L11" t="str">
            <v xml:space="preserve">Outils numériques de présentation. </v>
          </cell>
        </row>
        <row r="12">
          <cell r="B12" t="str">
            <v>CT 2.3</v>
          </cell>
          <cell r="C12" t="str">
            <v>► S’approprier un cahier des charges.</v>
          </cell>
          <cell r="D12" t="str">
            <v>DIC.1.2</v>
          </cell>
          <cell r="E12"/>
          <cell r="F12"/>
          <cell r="G12"/>
          <cell r="I12"/>
          <cell r="J12"/>
          <cell r="K12" t="str">
            <v>DIC.1.3.2</v>
          </cell>
          <cell r="L12" t="str">
            <v>Charte graphique.</v>
          </cell>
        </row>
        <row r="13">
          <cell r="B13" t="str">
            <v>CT 2.4</v>
          </cell>
          <cell r="C13" t="str">
            <v>► Associer des solutions techniques à des fonctions.</v>
          </cell>
          <cell r="D13"/>
          <cell r="E13"/>
          <cell r="F13" t="str">
            <v>MSOST.1.2</v>
          </cell>
          <cell r="G13"/>
          <cell r="I13" t="str">
            <v>DIC.1.4</v>
          </cell>
          <cell r="J13" t="str">
            <v>Participer à l’organisation de projets, la définition des rôles, la planification (se projeter et anticiper) et aux revues de projet.</v>
          </cell>
          <cell r="K13" t="str">
            <v>DIC.1.4.1</v>
          </cell>
          <cell r="L13" t="str">
            <v>Organisation d’un groupe de projet, rôle des participants, planning, revue de projets.</v>
          </cell>
        </row>
        <row r="14">
          <cell r="B14" t="str">
            <v>CT 2.5</v>
          </cell>
          <cell r="C14" t="str">
            <v>► Imaginer des solutions en réponse au besoin.</v>
          </cell>
          <cell r="D14" t="str">
            <v>DIC.1.5</v>
          </cell>
          <cell r="E14"/>
          <cell r="F14"/>
          <cell r="G14"/>
          <cell r="I14" t="str">
            <v>DIC.1.5</v>
          </cell>
          <cell r="J14" t="str">
            <v>Imaginer des solutions pour produire des objets et des éléments de programmes informatiques en réponse au besoin.</v>
          </cell>
          <cell r="K14" t="str">
            <v>DIC.1.5.1</v>
          </cell>
          <cell r="L14" t="str">
            <v xml:space="preserve">Design. </v>
          </cell>
        </row>
        <row r="15">
          <cell r="B15" t="str">
            <v>CT 2.6</v>
          </cell>
          <cell r="C15" t="str">
            <v>► Réaliser, de manière collaborative, le prototype de tout ou partie d’un objet pour valider une solution.</v>
          </cell>
          <cell r="D15" t="str">
            <v>DIC.2.1</v>
          </cell>
          <cell r="E15"/>
          <cell r="F15" t="str">
            <v>MSOST.1.1</v>
          </cell>
          <cell r="G15"/>
          <cell r="I15"/>
          <cell r="J15"/>
          <cell r="K15" t="str">
            <v>DIC.1.5.2</v>
          </cell>
          <cell r="L15" t="str">
            <v xml:space="preserve">Innovation et créativité. </v>
          </cell>
        </row>
        <row r="16">
          <cell r="B16" t="str">
            <v>CT 2.7</v>
          </cell>
          <cell r="C16" t="str">
            <v>► Imaginer, concevoir et programmer des applications informatiques nomades.</v>
          </cell>
          <cell r="D16" t="str">
            <v>DIC.1.5</v>
          </cell>
          <cell r="E16"/>
          <cell r="F16"/>
          <cell r="G16" t="str">
            <v>IP.2.2</v>
          </cell>
          <cell r="I16"/>
          <cell r="J16"/>
          <cell r="K16" t="str">
            <v>DIC.1.5.3</v>
          </cell>
          <cell r="L16" t="str">
            <v xml:space="preserve">Veille. </v>
          </cell>
        </row>
        <row r="17">
          <cell r="B17">
            <v>3</v>
          </cell>
          <cell r="C17" t="str">
            <v>S’approprier des outils et des méthodes</v>
          </cell>
          <cell r="D17"/>
          <cell r="E17"/>
          <cell r="F17"/>
          <cell r="G17"/>
          <cell r="I17"/>
          <cell r="J17"/>
          <cell r="K17" t="str">
            <v>DIC.1.5.4</v>
          </cell>
          <cell r="L17" t="str">
            <v xml:space="preserve">Représentation de solutions (croquis, schémas, algorithmes). </v>
          </cell>
        </row>
        <row r="18">
          <cell r="B18" t="str">
            <v>CT 3.1</v>
          </cell>
          <cell r="C18" t="str">
            <v>► Exprimer sa pensée à l’aide d’outils de description adaptés : croquis, schémas, graphes, diagrammes, tableaux (représentations non normées).</v>
          </cell>
          <cell r="D18"/>
          <cell r="E18" t="str">
            <v>OTSCIS.2.1</v>
          </cell>
          <cell r="F18"/>
          <cell r="G18"/>
          <cell r="I18"/>
          <cell r="J18"/>
          <cell r="K18" t="str">
            <v>DIC.1.5.5</v>
          </cell>
          <cell r="L18" t="str">
            <v xml:space="preserve">Réalité augmentée. </v>
          </cell>
        </row>
        <row r="19">
          <cell r="B19" t="str">
            <v>CT 3.2</v>
          </cell>
          <cell r="C19" t="str">
            <v>► Traduire, à l’aide d’outils de représentation numérique, des choix de solutions sous forme de croquis, de dessins ou de schémas.</v>
          </cell>
          <cell r="D19" t="str">
            <v>DIC.1.5</v>
          </cell>
          <cell r="E19" t="str">
            <v>OTSCIS.2.2</v>
          </cell>
          <cell r="F19"/>
          <cell r="G19"/>
          <cell r="I19"/>
          <cell r="J19"/>
          <cell r="K19" t="str">
            <v>DIC.1.5.6</v>
          </cell>
          <cell r="L19" t="str">
            <v>Objets connectés.</v>
          </cell>
        </row>
        <row r="20">
          <cell r="B20" t="str">
            <v>CT 3.3</v>
          </cell>
          <cell r="C20" t="str">
            <v>► Présenter à l’oral et à l’aide de supports numériques multimédia des solutions techniques au moment des revues de projet.</v>
          </cell>
          <cell r="D20" t="str">
            <v>DIC.1.7</v>
          </cell>
          <cell r="E20"/>
          <cell r="F20"/>
          <cell r="G20"/>
          <cell r="I20" t="str">
            <v>DIC.1.6</v>
          </cell>
          <cell r="J20" t="str">
            <v>Organiser, structurer et stocker des ressources numériques.</v>
          </cell>
          <cell r="K20" t="str">
            <v>DIC.1.6.1</v>
          </cell>
          <cell r="L20" t="str">
            <v>Arborescence.</v>
          </cell>
        </row>
        <row r="21">
          <cell r="B21">
            <v>4</v>
          </cell>
          <cell r="C21" t="str">
            <v xml:space="preserve">Pratiquer des langages </v>
          </cell>
          <cell r="D21"/>
          <cell r="E21"/>
          <cell r="F21"/>
          <cell r="G21"/>
          <cell r="I21" t="str">
            <v>DIC.1.7</v>
          </cell>
          <cell r="J21" t="str">
            <v>Présenter à l’oral et à l’aide de supports numériques multimédia des solutions techniques au moment des revues de projet.</v>
          </cell>
          <cell r="K21" t="str">
            <v>DIC.1.7.1</v>
          </cell>
          <cell r="L21" t="str">
            <v>Outils numériques de présentation.</v>
          </cell>
        </row>
        <row r="22">
          <cell r="B22" t="str">
            <v>CT 4.1</v>
          </cell>
          <cell r="C22" t="str">
            <v>► Décrire, en utilisant les outils et langages de descriptions adaptés, la structure et le comportement des objets.</v>
          </cell>
          <cell r="D22"/>
          <cell r="E22" t="str">
            <v>OTSCIS.1.4</v>
          </cell>
          <cell r="F22" t="str">
            <v>MSOST.1.5</v>
          </cell>
          <cell r="G22"/>
          <cell r="I22"/>
          <cell r="J22"/>
          <cell r="K22"/>
          <cell r="L22" t="str">
            <v>Charte graphique.</v>
          </cell>
        </row>
        <row r="23">
          <cell r="B23" t="str">
            <v>CT 4.2</v>
          </cell>
          <cell r="C23" t="str">
            <v>► Appliquer les principes élémentaires de l’algorithmique et du codage à la résolution d’un problème simple.</v>
          </cell>
          <cell r="D23"/>
          <cell r="E23"/>
          <cell r="F23"/>
          <cell r="G23" t="str">
            <v>IP.2.3</v>
          </cell>
          <cell r="I23" t="str">
            <v>DIC.2</v>
          </cell>
          <cell r="J23" t="str">
            <v>Réaliser, de manière collaborative, le prototype d’un objet communicant</v>
          </cell>
          <cell r="K23"/>
          <cell r="L23"/>
        </row>
        <row r="24">
          <cell r="B24">
            <v>5</v>
          </cell>
          <cell r="C24" t="str">
            <v>Mobiliser des outils numériques</v>
          </cell>
          <cell r="D24"/>
          <cell r="E24"/>
          <cell r="F24"/>
          <cell r="G24"/>
          <cell r="I24" t="str">
            <v>DIC.2.1</v>
          </cell>
          <cell r="J24" t="str">
            <v>Réaliser, de manière collaborative, le prototype d’un objet pour valider une solution.</v>
          </cell>
          <cell r="K24" t="str">
            <v>DIC.2.1.1</v>
          </cell>
          <cell r="L24" t="str">
            <v>Prototypage rapide de structures et de circuits de commande à partir de cartes standard.</v>
          </cell>
        </row>
        <row r="25">
          <cell r="B25" t="str">
            <v>CT 5.1</v>
          </cell>
          <cell r="C25" t="str">
            <v>► Simuler numériquement la structure et/ou le comportement d’un objet.</v>
          </cell>
          <cell r="D25"/>
          <cell r="E25"/>
          <cell r="F25" t="str">
            <v>MSOST.2.2</v>
          </cell>
          <cell r="G25"/>
        </row>
        <row r="26">
          <cell r="B26" t="str">
            <v>CT 5.2</v>
          </cell>
          <cell r="C26" t="str">
            <v>► Organiser, structurer et stocker des ressources numériques.</v>
          </cell>
          <cell r="D26" t="str">
            <v>DIC.1.6</v>
          </cell>
          <cell r="E26"/>
          <cell r="F26"/>
          <cell r="G26"/>
        </row>
        <row r="27">
          <cell r="B27" t="str">
            <v>CT 5.3</v>
          </cell>
          <cell r="C27" t="str">
            <v>► Lire, utiliser et produire des représentations numériques d’objets.</v>
          </cell>
          <cell r="D27"/>
          <cell r="E27" t="str">
            <v>OTSCIS.2.2</v>
          </cell>
          <cell r="F27"/>
          <cell r="G27"/>
          <cell r="J27" t="str">
            <v>Les objets techniques, les services et les changements induits dans la société</v>
          </cell>
        </row>
        <row r="28">
          <cell r="B28" t="str">
            <v>CT 5.4</v>
          </cell>
          <cell r="C28" t="str">
            <v>► Piloter un système connecté localement ou à distance.</v>
          </cell>
          <cell r="D28"/>
          <cell r="E28"/>
          <cell r="F28"/>
          <cell r="G28" t="str">
            <v>IP.2.2</v>
          </cell>
          <cell r="J28" t="str">
            <v>Attendus de fin de cycle</v>
          </cell>
          <cell r="K28"/>
          <cell r="L28"/>
        </row>
        <row r="29">
          <cell r="B29" t="str">
            <v>CT 5.5</v>
          </cell>
          <cell r="C29" t="str">
            <v>► Modifier ou paramétrer le fonctionnement d’un objet communicant.</v>
          </cell>
          <cell r="D29"/>
          <cell r="E29"/>
          <cell r="F29"/>
          <cell r="G29" t="str">
            <v>IP.2.3</v>
          </cell>
          <cell r="J29" t="str">
            <v>Comparer et commenter les évolutions des objets et systèmes.</v>
          </cell>
          <cell r="K29"/>
          <cell r="L29"/>
        </row>
        <row r="30">
          <cell r="B30">
            <v>6</v>
          </cell>
          <cell r="C30" t="str">
            <v>Adopter un comportement éthique et responsable</v>
          </cell>
          <cell r="D30"/>
          <cell r="E30"/>
          <cell r="F30"/>
          <cell r="G30"/>
          <cell r="J30" t="str">
            <v>Exprimer sa pensée à l’aide d’outils de description adaptés. </v>
          </cell>
          <cell r="K30"/>
          <cell r="L30"/>
        </row>
        <row r="31">
          <cell r="B31" t="str">
            <v>CT 6.1</v>
          </cell>
          <cell r="C31" t="str">
            <v>► Développer les bonnes pratiques de l’usage des objets communicants.</v>
          </cell>
          <cell r="D31"/>
          <cell r="E31" t="str">
            <v>OTSCIS.1.3</v>
          </cell>
          <cell r="F31"/>
          <cell r="G31"/>
          <cell r="J31" t="str">
            <v>Développer les bonnes pratiques de l’usage des objets communicants.</v>
          </cell>
          <cell r="K31"/>
          <cell r="L31"/>
        </row>
        <row r="32">
          <cell r="B32" t="str">
            <v>CT 6.2</v>
          </cell>
          <cell r="C32" t="str">
            <v>► Analyser l’impact environnemental d’un objet et de ses constituants.</v>
          </cell>
          <cell r="D32"/>
          <cell r="E32" t="str">
            <v>OTSCIS.1.2</v>
          </cell>
          <cell r="F32"/>
          <cell r="G32"/>
          <cell r="J32" t="str">
            <v>Compétences</v>
          </cell>
          <cell r="K32"/>
          <cell r="L32" t="str">
            <v xml:space="preserve">Connaissances </v>
          </cell>
        </row>
        <row r="33">
          <cell r="B33" t="str">
            <v>CT 6.3</v>
          </cell>
          <cell r="C33" t="str">
            <v>► Analyser le cycle de vie d’un objet.</v>
          </cell>
          <cell r="D33"/>
          <cell r="E33" t="str">
            <v>OTSCIS.1.1</v>
          </cell>
          <cell r="F33"/>
          <cell r="G33"/>
          <cell r="I33" t="str">
            <v>OTSCIS.1</v>
          </cell>
          <cell r="J33" t="str">
            <v>Comparer et commenter les évolutions des objets et systèmes</v>
          </cell>
          <cell r="K33"/>
          <cell r="L33"/>
        </row>
        <row r="34">
          <cell r="B34">
            <v>7</v>
          </cell>
          <cell r="C34" t="str">
            <v>Se situer dans l’espace et dans le temps</v>
          </cell>
          <cell r="D34"/>
          <cell r="E34"/>
          <cell r="F34"/>
          <cell r="G34"/>
          <cell r="I34" t="str">
            <v>OTSCIS.1.1</v>
          </cell>
          <cell r="J34" t="str">
            <v>Regrouper des objets en familles et lignées.</v>
          </cell>
          <cell r="K34" t="str">
            <v>OTSCIS.1.1.1</v>
          </cell>
          <cell r="L34" t="str">
            <v xml:space="preserve">L’évolution des objets. </v>
          </cell>
        </row>
        <row r="35">
          <cell r="B35" t="str">
            <v>CT 7.1</v>
          </cell>
          <cell r="C35" t="str">
            <v>► Regrouper des objets en familles et lignées.</v>
          </cell>
          <cell r="D35"/>
          <cell r="E35" t="str">
            <v>OTSCIS.1.1</v>
          </cell>
          <cell r="F35"/>
          <cell r="G35"/>
          <cell r="I35"/>
          <cell r="J35"/>
          <cell r="K35" t="str">
            <v>OTSCIS.1.1.2</v>
          </cell>
          <cell r="L35" t="str">
            <v xml:space="preserve">Impacts sociétaux et environnementaux dus aux objets. </v>
          </cell>
        </row>
        <row r="36">
          <cell r="B36" t="str">
            <v>CT 7.2</v>
          </cell>
          <cell r="C36" t="str">
            <v xml:space="preserve">► Relier les évolutions technologiques aux inventions et innovations qui marquent des ruptures dans les solutions techniques. </v>
          </cell>
          <cell r="D36"/>
          <cell r="E36" t="str">
            <v>OTSCIS.1.2</v>
          </cell>
          <cell r="F36"/>
          <cell r="G36"/>
          <cell r="I36"/>
          <cell r="J36"/>
          <cell r="K36" t="str">
            <v>OTSCIS.1.1.3</v>
          </cell>
          <cell r="L36" t="str">
            <v xml:space="preserve">Cycle de vie. </v>
          </cell>
        </row>
        <row r="37">
          <cell r="I37"/>
          <cell r="J37"/>
          <cell r="K37" t="str">
            <v>OTSCIS.1.1.4</v>
          </cell>
          <cell r="L37" t="str">
            <v>Les règles d’un usage raisonné des objets communicants respectant la propriété intellectuelle et l’intégrité d’autrui.</v>
          </cell>
        </row>
        <row r="38">
          <cell r="B38" t="str">
            <v>Les compétences suivantes, spécifiques au programme de technologie, ne sont pas citées dans le tableau des compétences travaillées mais elles permettent néanmoins de travailler certaines compétences du socle commun.</v>
          </cell>
          <cell r="C38"/>
          <cell r="I38" t="str">
            <v>OTSCIS.1.2</v>
          </cell>
          <cell r="J38" t="str">
            <v xml:space="preserve">Relier les évolutions technologiques aux inventions et innovations qui marquent des ruptures dans les solutions techniques. </v>
          </cell>
          <cell r="K38"/>
          <cell r="L38"/>
        </row>
        <row r="39">
          <cell r="B39" t="str">
            <v>Compétences spécifiques au programme de technologie</v>
          </cell>
          <cell r="C39"/>
          <cell r="I39" t="str">
            <v>OTSCIS.1.3</v>
          </cell>
          <cell r="J39" t="str">
            <v>Comparer et commenter les évolutions des objets en articulant différents points de vue : fonctionnel, structurel, environnemental, technique, scientifique, social, historique, économique.</v>
          </cell>
          <cell r="K39"/>
          <cell r="L39"/>
        </row>
        <row r="40">
          <cell r="B40" t="str">
            <v>CS 1.5</v>
          </cell>
          <cell r="C40" t="str">
            <v>► Respecter une procédure de travail garantissant un résultat en respectant les règles de sécurité et d’utilisation des outils mis à disposition.</v>
          </cell>
          <cell r="D40"/>
          <cell r="E40"/>
          <cell r="F40" t="str">
            <v>MSOST.1.1</v>
          </cell>
          <cell r="G40"/>
          <cell r="I40" t="str">
            <v>OTSCIS.1.4</v>
          </cell>
          <cell r="J40" t="str">
            <v>Élaborer un document qui synthétise ces comparaisons et ces commentaires.</v>
          </cell>
          <cell r="K40" t="str">
            <v>OTSCIS.1.4.1</v>
          </cell>
          <cell r="L40" t="str">
            <v xml:space="preserve">Outils numériques de présentation. </v>
          </cell>
        </row>
        <row r="41">
          <cell r="B41" t="str">
            <v>CS 1.6</v>
          </cell>
          <cell r="C41" t="str">
            <v>► Analyser le fonctionnement et la structure d’un objet, identifier les entrées et sorties.</v>
          </cell>
          <cell r="D41"/>
          <cell r="E41"/>
          <cell r="F41" t="str">
            <v>MSOST.1.3</v>
          </cell>
          <cell r="G41"/>
          <cell r="I41"/>
          <cell r="J41"/>
          <cell r="K41" t="str">
            <v>OTSCIS.1.4.2</v>
          </cell>
          <cell r="L41" t="str">
            <v>Charte graphique.</v>
          </cell>
        </row>
        <row r="42">
          <cell r="B42" t="str">
            <v>CS 1.7</v>
          </cell>
          <cell r="C42" t="str">
            <v>► Interpréter des résultats expérimentaux, en tirer une conclusion et la communiquer en argumentant.</v>
          </cell>
          <cell r="D42"/>
          <cell r="E42"/>
          <cell r="F42" t="str">
            <v>MSOST.1.7</v>
          </cell>
          <cell r="G42"/>
          <cell r="I42" t="str">
            <v>OTSCIS.2</v>
          </cell>
          <cell r="J42" t="str">
            <v>Exprimer sa pensée à l’aide d’outils de description adaptés</v>
          </cell>
          <cell r="K42"/>
          <cell r="L42"/>
        </row>
        <row r="43">
          <cell r="B43" t="str">
            <v>CS 1.8</v>
          </cell>
          <cell r="C43" t="str">
            <v>► Utiliser une modélisation pour comprendre, formaliser, partager, construire, investiguer, prouver.</v>
          </cell>
          <cell r="D43"/>
          <cell r="E43"/>
          <cell r="F43" t="str">
            <v>MSOST.2.1</v>
          </cell>
          <cell r="G43"/>
          <cell r="I43" t="str">
            <v>OTSCIS.2.1</v>
          </cell>
          <cell r="J43" t="str">
            <v xml:space="preserve">Exprimer sa pensée à l’aide d’outils de description adaptés : croquis, schémas, graphes, diagrammes, tableaux. </v>
          </cell>
          <cell r="K43" t="str">
            <v>OTSCIS.2.1.1</v>
          </cell>
          <cell r="L43" t="str">
            <v xml:space="preserve">Croquis à main levée. </v>
          </cell>
        </row>
        <row r="44">
          <cell r="B44"/>
          <cell r="C44"/>
          <cell r="D44"/>
          <cell r="E44"/>
          <cell r="F44"/>
          <cell r="G44"/>
          <cell r="I44"/>
          <cell r="J44"/>
          <cell r="K44" t="str">
            <v>OTSCIS.2.1.2</v>
          </cell>
          <cell r="L44" t="str">
            <v xml:space="preserve">Différents schémas. </v>
          </cell>
        </row>
        <row r="45">
          <cell r="B45" t="str">
            <v>CS 5.6</v>
          </cell>
          <cell r="C45" t="str">
            <v>► Comprendre le fonctionnement d’un réseau informatique.</v>
          </cell>
          <cell r="D45"/>
          <cell r="E45"/>
          <cell r="F45"/>
          <cell r="G45" t="str">
            <v>IP.1.1</v>
          </cell>
          <cell r="I45"/>
          <cell r="J45"/>
          <cell r="K45" t="str">
            <v>OTSCIS.2.1.3</v>
          </cell>
          <cell r="L45" t="str">
            <v xml:space="preserve">Carte heuristique. </v>
          </cell>
        </row>
        <row r="46">
          <cell r="B46" t="str">
            <v>CS 5.7</v>
          </cell>
          <cell r="C46" t="str">
            <v>► Analyser le comportement attendu d’un système réel et décomposer le problème posé en sous-problèmes afin de structurer un programme de commande.</v>
          </cell>
          <cell r="D46"/>
          <cell r="E46"/>
          <cell r="F46"/>
          <cell r="G46" t="str">
            <v>IP.2.1</v>
          </cell>
          <cell r="I46"/>
          <cell r="J46"/>
          <cell r="K46" t="str">
            <v>OTSCIS.2.1.4</v>
          </cell>
          <cell r="L46" t="str">
            <v>Notion d’algorithme.</v>
          </cell>
        </row>
        <row r="47">
          <cell r="I47" t="str">
            <v>OTSCIS.2.2</v>
          </cell>
          <cell r="J47" t="str">
            <v>Lire, utiliser et produire, à l’aide d’outils de représentation numérique, des choix de solutions sous forme de dessins ou de schémas.</v>
          </cell>
          <cell r="K47" t="str">
            <v>OTSCIS.2.2.1</v>
          </cell>
          <cell r="L47" t="str">
            <v>Outils numériques de description des objets techniques.</v>
          </cell>
        </row>
        <row r="50">
          <cell r="J50" t="str">
            <v xml:space="preserve">La modélisation et la simulation des objets et systèmes techniques </v>
          </cell>
          <cell r="K50"/>
          <cell r="L50"/>
        </row>
        <row r="51">
          <cell r="J51" t="str">
            <v>Attendus de fin de cycle</v>
          </cell>
          <cell r="K51"/>
          <cell r="L51"/>
        </row>
        <row r="52">
          <cell r="J52" t="str">
            <v>Analyser le fonctionnement et la structure d’un objet.</v>
          </cell>
          <cell r="K52"/>
          <cell r="L52"/>
        </row>
        <row r="53">
          <cell r="J53" t="str">
            <v>Utiliser une modélisation et simuler le comportement d’un objet.</v>
          </cell>
          <cell r="K53"/>
          <cell r="L53"/>
        </row>
        <row r="54">
          <cell r="I54"/>
          <cell r="J54" t="str">
            <v>Compétences</v>
          </cell>
          <cell r="K54"/>
          <cell r="L54" t="str">
            <v xml:space="preserve">Connaissances </v>
          </cell>
        </row>
        <row r="55">
          <cell r="I55" t="str">
            <v>MSOST.1</v>
          </cell>
          <cell r="J55" t="str">
            <v>Analyser le fonctionnement et la structure d’un objet</v>
          </cell>
          <cell r="K55"/>
          <cell r="L55"/>
        </row>
        <row r="56">
          <cell r="I56" t="str">
            <v>MSOST.1.1</v>
          </cell>
          <cell r="J56" t="str">
            <v>Respecter une procédure de travail garantissant un résultat en respectant les règles de sécurité et d’utilisation des outils mis à disposition.</v>
          </cell>
          <cell r="K56" t="str">
            <v>MSOST.1.1.1</v>
          </cell>
          <cell r="L56" t="str">
            <v xml:space="preserve">Procédures, protocoles. </v>
          </cell>
        </row>
        <row r="57">
          <cell r="I57"/>
          <cell r="J57"/>
          <cell r="K57" t="str">
            <v>MSOST.1.1.2</v>
          </cell>
          <cell r="L57" t="str">
            <v>Ergonomie.</v>
          </cell>
        </row>
        <row r="58">
          <cell r="I58" t="str">
            <v>MSOST.1.2</v>
          </cell>
          <cell r="J58" t="str">
            <v>Associer des solutions techniques à des fonctions.</v>
          </cell>
          <cell r="K58" t="str">
            <v>MSOST.1.2.1</v>
          </cell>
          <cell r="L58" t="str">
            <v>Analyse fonctionnelle systémique.</v>
          </cell>
        </row>
        <row r="59">
          <cell r="I59" t="str">
            <v>MSOST.1.3</v>
          </cell>
          <cell r="J59" t="str">
            <v>Analyser le fonctionnement et la structure d’un objet, identifier les entrées et sorties.</v>
          </cell>
          <cell r="K59" t="str">
            <v>MSOST.1.3.1</v>
          </cell>
          <cell r="L59" t="str">
            <v xml:space="preserve">Représentation fonctionnelle des systèmes. </v>
          </cell>
        </row>
        <row r="60">
          <cell r="I60"/>
          <cell r="J60"/>
          <cell r="K60" t="str">
            <v>MSOST.1.3.2</v>
          </cell>
          <cell r="L60" t="str">
            <v xml:space="preserve">Structure des systèmes. </v>
          </cell>
        </row>
        <row r="61">
          <cell r="I61"/>
          <cell r="J61"/>
          <cell r="K61" t="str">
            <v>MSOST.1.3.3</v>
          </cell>
          <cell r="L61" t="str">
            <v>Chaîne d’énergie.</v>
          </cell>
        </row>
        <row r="62">
          <cell r="I62"/>
          <cell r="J62"/>
          <cell r="K62" t="str">
            <v>MSOST.1.3.4</v>
          </cell>
          <cell r="L62" t="str">
            <v>Chaîne d’information.</v>
          </cell>
        </row>
        <row r="63">
          <cell r="I63" t="str">
            <v>MSOST.1.4</v>
          </cell>
          <cell r="J63" t="str">
            <v>Identifier le(s) matériau(x), les flux d’énergie et d’information sur un objet et décrire les transformations qui s’opèrent.</v>
          </cell>
          <cell r="K63" t="str">
            <v>MSOST.1.4.1</v>
          </cell>
          <cell r="L63" t="str">
            <v xml:space="preserve">Familles de matériaux avec leurs principales caractéristiques. </v>
          </cell>
        </row>
        <row r="64">
          <cell r="I64"/>
          <cell r="J64"/>
          <cell r="K64" t="str">
            <v>MSOST.1.4.2</v>
          </cell>
          <cell r="L64" t="str">
            <v xml:space="preserve">Sources d’énergies. </v>
          </cell>
        </row>
        <row r="65">
          <cell r="I65"/>
          <cell r="J65"/>
          <cell r="K65" t="str">
            <v>MSOST.1.4.3</v>
          </cell>
          <cell r="L65" t="str">
            <v xml:space="preserve">Chaîne d’énergie. </v>
          </cell>
        </row>
        <row r="66">
          <cell r="I66"/>
          <cell r="J66"/>
          <cell r="K66" t="str">
            <v>MSOST.1.4.4</v>
          </cell>
          <cell r="L66" t="str">
            <v>Chaîne d’information.</v>
          </cell>
        </row>
        <row r="67">
          <cell r="I67" t="str">
            <v>MSOST.1.5</v>
          </cell>
          <cell r="J67" t="str">
            <v>Décrire, en utilisant les outils et langages de descriptions adaptés, le fonctionnement, la structure et le comportement des objets.</v>
          </cell>
          <cell r="K67" t="str">
            <v>MSOST.1.5.1</v>
          </cell>
          <cell r="L67" t="str">
            <v>Outils de description d’un fonctionnement, d’une structure et d’un comportement.</v>
          </cell>
        </row>
        <row r="68">
          <cell r="I68" t="str">
            <v>MSOST.1.6</v>
          </cell>
          <cell r="J68" t="str">
            <v xml:space="preserve">Mesurer des grandeurs de manière directe ou indirecte. </v>
          </cell>
          <cell r="K68" t="str">
            <v>MSOST.1.6.1</v>
          </cell>
          <cell r="L68" t="str">
            <v xml:space="preserve">Instruments de mesure usuels. </v>
          </cell>
        </row>
        <row r="69">
          <cell r="I69"/>
          <cell r="J69"/>
          <cell r="K69" t="str">
            <v>MSOST.1.6.2</v>
          </cell>
          <cell r="L69" t="str">
            <v xml:space="preserve">Principe de fonctionnement d’un capteur, d’un codeur, d’un détecteur. </v>
          </cell>
        </row>
        <row r="70">
          <cell r="I70"/>
          <cell r="J70"/>
          <cell r="K70" t="str">
            <v>MSOST.1.6.3</v>
          </cell>
          <cell r="L70" t="str">
            <v xml:space="preserve">Nature du signal : analogique ou numérique. </v>
          </cell>
        </row>
        <row r="71">
          <cell r="I71"/>
          <cell r="J71"/>
          <cell r="K71" t="str">
            <v>MSOST.1.6.4</v>
          </cell>
          <cell r="L71" t="str">
            <v>Nature d’une information : logique ou analogique.</v>
          </cell>
        </row>
        <row r="72">
          <cell r="I72" t="str">
            <v>MSOST.1.7</v>
          </cell>
          <cell r="J72" t="str">
            <v>Interpréter des résultats expérimentaux, en tirer une conclusion et la communiquer en argumentant.</v>
          </cell>
          <cell r="K72" t="str">
            <v>MSOST.1.7.1</v>
          </cell>
          <cell r="L72" t="str">
            <v>Notions d’écarts entre les attentes fixées par le cahier des charges et les résultats de l’expérimentation.</v>
          </cell>
        </row>
        <row r="73">
          <cell r="I73" t="str">
            <v>MSOST.2</v>
          </cell>
          <cell r="J73" t="str">
            <v>Utiliser une modélisation et simuler le comportement d’un objet</v>
          </cell>
          <cell r="K73"/>
          <cell r="L73"/>
        </row>
        <row r="74">
          <cell r="I74" t="str">
            <v>MSOST.2.1</v>
          </cell>
          <cell r="J74" t="str">
            <v>Utiliser une modélisation pour comprendre, formaliser, partager, construire, investiguer, prouver.</v>
          </cell>
          <cell r="K74" t="str">
            <v>MSOST.2.1.1</v>
          </cell>
          <cell r="L74" t="str">
            <v xml:space="preserve">Outils de description d’un fonctionnement, d’une structure et d’un comportement. </v>
          </cell>
        </row>
        <row r="75">
          <cell r="I75" t="str">
            <v>MSOST.2.2</v>
          </cell>
          <cell r="J75" t="str">
            <v>Simuler numériquement la structure et/ou le comportement d’un objet. Interpréter le comportement de l’objet technique et le communiquer en argumentant.</v>
          </cell>
          <cell r="K75" t="str">
            <v>MSOST.2.2.1</v>
          </cell>
          <cell r="L75" t="str">
            <v>Notions d’écarts entre les attentes fixées par le cahier des charges et les résultats de la simulation.</v>
          </cell>
        </row>
        <row r="78">
          <cell r="J78" t="str">
            <v>L’informatique et la programmation</v>
          </cell>
          <cell r="K78"/>
          <cell r="L78"/>
        </row>
        <row r="79">
          <cell r="J79" t="str">
            <v>Attendus de fin de cycle</v>
          </cell>
          <cell r="K79"/>
          <cell r="L79"/>
        </row>
        <row r="80">
          <cell r="J80" t="str">
            <v>Comprendre le fonctionnement d’un réseau informatique.</v>
          </cell>
          <cell r="K80"/>
          <cell r="L80"/>
        </row>
        <row r="81">
          <cell r="J81" t="str">
            <v>Écrire, mettre au point et exécuter un programme.</v>
          </cell>
          <cell r="K81"/>
          <cell r="L81"/>
        </row>
        <row r="82">
          <cell r="J82" t="str">
            <v>Compétences</v>
          </cell>
          <cell r="K82"/>
          <cell r="L82" t="str">
            <v xml:space="preserve">Connaissances </v>
          </cell>
        </row>
        <row r="83">
          <cell r="I83" t="str">
            <v>IP.1</v>
          </cell>
          <cell r="J83" t="str">
            <v>Comprendre le fonctionnement d’un réseau informatique</v>
          </cell>
          <cell r="K83"/>
          <cell r="L83"/>
        </row>
        <row r="84">
          <cell r="I84" t="str">
            <v>IP.1.1</v>
          </cell>
          <cell r="J84" t="str">
            <v>Comprendre le fonctionnement d'un réseau informatique</v>
          </cell>
          <cell r="K84" t="str">
            <v>IP.1.1.1</v>
          </cell>
          <cell r="L84" t="str">
            <v xml:space="preserve">Composants d'un réseau, architecture d'un réseau local, moyens de connexion d’un moyen informatique. </v>
          </cell>
        </row>
        <row r="85">
          <cell r="I85"/>
          <cell r="J85"/>
          <cell r="K85" t="str">
            <v>IP.1.1.2</v>
          </cell>
          <cell r="L85" t="str">
            <v>Notion de protocole, d'organisation de protocoles en couche, d'algorithme de routage, Internet.</v>
          </cell>
        </row>
        <row r="86">
          <cell r="I86" t="str">
            <v>IP.2</v>
          </cell>
          <cell r="J86" t="str">
            <v>Écrire, mettre au point et exécuter un programme</v>
          </cell>
          <cell r="K86"/>
          <cell r="L86"/>
        </row>
        <row r="87">
          <cell r="I87" t="str">
            <v>IP.2.1</v>
          </cell>
          <cell r="J87" t="str">
            <v>Analyser le comportement attendu d’un système réel et décomposer le problème posé en sous-problèmes afin de structurer un programme de commande.</v>
          </cell>
          <cell r="K87"/>
          <cell r="L87"/>
        </row>
        <row r="88">
          <cell r="I88" t="str">
            <v>IP.2.2</v>
          </cell>
          <cell r="J88" t="str">
            <v>Écrire, mettre au point (tester, corriger) et exécuter un programme commandant un système réel et vérifier le comportement attendu.</v>
          </cell>
          <cell r="K88"/>
          <cell r="L88"/>
        </row>
        <row r="89">
          <cell r="I89" t="str">
            <v>IP.2.3</v>
          </cell>
          <cell r="J89" t="str">
            <v>Écrire un programme dans lequel des actions sont déclenchées par des événements extérieurs.</v>
          </cell>
          <cell r="K89" t="str">
            <v>IP.2.3.1</v>
          </cell>
          <cell r="L89" t="str">
            <v xml:space="preserve">Notions d’algorithme et de programme. </v>
          </cell>
        </row>
        <row r="90">
          <cell r="I90"/>
          <cell r="J90"/>
          <cell r="K90" t="str">
            <v>IP.2.3.2</v>
          </cell>
          <cell r="L90" t="str">
            <v xml:space="preserve">Notion de variable informatique. </v>
          </cell>
        </row>
        <row r="91">
          <cell r="I91"/>
          <cell r="J91"/>
          <cell r="K91" t="str">
            <v>IP.2.3.3</v>
          </cell>
          <cell r="L91" t="str">
            <v xml:space="preserve">Déclenchement d'une action par un événement, séquences d'instructions, boucles, instructions conditionnelles. </v>
          </cell>
        </row>
        <row r="92">
          <cell r="I92"/>
          <cell r="J92"/>
          <cell r="K92" t="str">
            <v>IP.2.3.4</v>
          </cell>
          <cell r="L92" t="str">
            <v xml:space="preserve">Systèmes embarqués. </v>
          </cell>
        </row>
        <row r="93">
          <cell r="I93"/>
          <cell r="J93"/>
          <cell r="K93" t="str">
            <v>IP.2.3.5</v>
          </cell>
          <cell r="L93" t="str">
            <v xml:space="preserve">Forme et transmission du signal. </v>
          </cell>
        </row>
        <row r="94">
          <cell r="I94"/>
          <cell r="J94"/>
          <cell r="K94" t="str">
            <v>IP.2.3.6</v>
          </cell>
          <cell r="L94" t="str">
            <v>Capteur, actionneur, interface.</v>
          </cell>
        </row>
      </sheetData>
      <sheetData sheetId="3">
        <row r="1">
          <cell r="D1" t="str">
            <v>Chronologie dans la progression</v>
          </cell>
          <cell r="F1" t="str">
            <v xml:space="preserve"> Imaginer, synthétiser, formaliser et respecter une procédure, un protocole. </v>
          </cell>
          <cell r="G1" t="str">
            <v xml:space="preserve">Mesurer des grandeurs de manière directe ou indirecte. </v>
          </cell>
          <cell r="H1" t="str">
            <v xml:space="preserve">Rechercher des solutions techniques à un problème posé, expliciter ses choix et les communiquer en argumentant. </v>
          </cell>
          <cell r="I1" t="str">
            <v>Participer à l’organisation et au déroulement de projets.</v>
          </cell>
          <cell r="J1" t="str">
            <v>Respecter une procédure de travail garantissant un résultat en respectant les règles de sécurité et d’utilisation des outils mis à disposition.</v>
          </cell>
          <cell r="K1" t="str">
            <v>Analyser le fonctionnement et la structure d’un objet, identifier les entrées et sorties.</v>
          </cell>
          <cell r="L1" t="str">
            <v>Interpréter des résultats expérimentaux, en tirer une conclusion et la communiquer en argumentant.</v>
          </cell>
          <cell r="M1" t="str">
            <v>Utiliser une modélisation pour comprendre, formaliser, partager, construire, investiguer, prouver.</v>
          </cell>
          <cell r="N1" t="str">
            <v>Identifier un besoin et énoncer un problème technique, identifier les conditions, contraintes (normes et règlements) et ressources correspondantes.</v>
          </cell>
          <cell r="O1" t="str">
            <v>Identifier le(s) matériau(x), les flux d’énergie et d’information dans le cadre d’une production technique sur un objet et décrire les transformations qui s’opèrent.</v>
          </cell>
          <cell r="P1" t="str">
            <v>S’approprier un cahier des charges.</v>
          </cell>
          <cell r="Q1" t="str">
            <v>Associer des solutions techniques à des fonctions.</v>
          </cell>
          <cell r="R1" t="str">
            <v>Imaginer des solutions en réponse au besoin.</v>
          </cell>
          <cell r="S1" t="str">
            <v>Réaliser, de manière collaborative, le prototype de tout ou partie d’un objet pour valider une solution.</v>
          </cell>
          <cell r="T1" t="str">
            <v>Imaginer, concevoir et programmer des applications informatiques nomades.</v>
          </cell>
          <cell r="U1" t="str">
            <v>Exprimer sa pensée à l’aide d’outils de description adaptés : croquis, schémas, graphes, diagrammes, tableaux (représentations non normées).</v>
          </cell>
          <cell r="V1" t="str">
            <v>Traduire, à l’aide d’outils de représentation numérique, des choix de solutions sous forme de croquis, de dessins ou de schémas.</v>
          </cell>
          <cell r="W1" t="str">
            <v>Présenter à l’oral et à l’aide de supports numériques multimédia des solutions techniques au moment des revues de projet.</v>
          </cell>
          <cell r="X1" t="str">
            <v>Décrire, en utilisant les outils et langages de descriptions adaptés, la structure et le comportement des objets.</v>
          </cell>
          <cell r="Y1" t="str">
            <v>Appliquer les principes élémentaires de l’algorithmique et du codage à la résolution d’un problème simple.</v>
          </cell>
          <cell r="Z1" t="str">
            <v>Simuler numériquement la structure et/ou le comportement d’un objet.</v>
          </cell>
          <cell r="AA1" t="str">
            <v>Organiser, structurer et stocker des ressources numériques.</v>
          </cell>
          <cell r="AB1" t="str">
            <v>Lire, utiliser et produire des représentations numériques d’objets.</v>
          </cell>
          <cell r="AC1" t="str">
            <v>Piloter un système connecté localement ou à distance.</v>
          </cell>
          <cell r="AD1" t="str">
            <v>Modifier ou paramétrer le fonctionnement d’un objet communicant.</v>
          </cell>
          <cell r="AE1" t="str">
            <v>Comprendre le fonctionnement d’un réseau informatique</v>
          </cell>
          <cell r="AF1" t="str">
            <v>Analyser le comportement attendu d’un système réel et décomposer le problème posé en sous-problèmes afin de structurer un programme de commande.</v>
          </cell>
          <cell r="AG1" t="str">
            <v>Développer les bonnes pratiques de l’usage des objets communicants.</v>
          </cell>
          <cell r="AH1" t="str">
            <v>Analyser l’impact environnemental d’un objet et de ses constituants.</v>
          </cell>
          <cell r="AI1" t="str">
            <v>Analyser le cycle de vie d’un objet.</v>
          </cell>
          <cell r="AJ1" t="str">
            <v>Regrouper des objets en familles et lignées.</v>
          </cell>
          <cell r="AK1" t="str">
            <v xml:space="preserve">Relier les évolutions technologiques aux inventions et innovations qui marquent des ruptures dans les solutions techniques. </v>
          </cell>
        </row>
        <row r="2">
          <cell r="D2"/>
          <cell r="F2" t="str">
            <v>CT 1.1</v>
          </cell>
          <cell r="G2" t="str">
            <v>CT 1.2</v>
          </cell>
          <cell r="H2" t="str">
            <v>CT 1.3</v>
          </cell>
          <cell r="I2" t="str">
            <v>CT 1.4</v>
          </cell>
          <cell r="J2" t="str">
            <v>CS 1.5</v>
          </cell>
          <cell r="K2" t="str">
            <v>CS 1.6</v>
          </cell>
          <cell r="L2" t="str">
            <v>CS 1.7</v>
          </cell>
          <cell r="M2" t="str">
            <v>CS 1.8</v>
          </cell>
          <cell r="N2" t="str">
            <v>CT 2.1</v>
          </cell>
          <cell r="O2" t="str">
            <v>CT 2.2</v>
          </cell>
          <cell r="P2" t="str">
            <v>CT 2.3</v>
          </cell>
          <cell r="Q2" t="str">
            <v>CT 2.4</v>
          </cell>
          <cell r="R2" t="str">
            <v>CT 2.5</v>
          </cell>
          <cell r="S2" t="str">
            <v>CT 2.6</v>
          </cell>
          <cell r="T2" t="str">
            <v>CT 2.7</v>
          </cell>
          <cell r="U2" t="str">
            <v>CT 3.1</v>
          </cell>
          <cell r="V2" t="str">
            <v>CT 3.2</v>
          </cell>
          <cell r="W2" t="str">
            <v>CT 3.3</v>
          </cell>
          <cell r="X2" t="str">
            <v>CT 4.1</v>
          </cell>
          <cell r="Y2" t="str">
            <v>CT 4.2</v>
          </cell>
          <cell r="Z2" t="str">
            <v>CT 5.1</v>
          </cell>
          <cell r="AA2" t="str">
            <v>CT 5.2</v>
          </cell>
          <cell r="AB2" t="str">
            <v>CT 5.3</v>
          </cell>
          <cell r="AC2" t="str">
            <v>CT 5.4</v>
          </cell>
          <cell r="AD2" t="str">
            <v>CT 5.5</v>
          </cell>
          <cell r="AE2" t="str">
            <v>CS 5.6</v>
          </cell>
          <cell r="AF2" t="str">
            <v>CS 5.7</v>
          </cell>
          <cell r="AG2" t="str">
            <v>CT 6.1</v>
          </cell>
          <cell r="AH2" t="str">
            <v>CT 6.2</v>
          </cell>
          <cell r="AI2" t="str">
            <v>CT 6.3</v>
          </cell>
          <cell r="AJ2" t="str">
            <v>CT 7.1</v>
          </cell>
          <cell r="AK2" t="str">
            <v>CT 7.2</v>
          </cell>
        </row>
        <row r="3">
          <cell r="A3" t="str">
            <v>Nombre de séquences où la compétence est travaillée</v>
          </cell>
          <cell r="B3"/>
          <cell r="C3"/>
          <cell r="D3"/>
        </row>
        <row r="4">
          <cell r="A4" t="str">
            <v>1) Stabilité d'une structure</v>
          </cell>
          <cell r="B4"/>
          <cell r="C4"/>
          <cell r="D4"/>
        </row>
        <row r="5">
          <cell r="A5"/>
          <cell r="B5"/>
          <cell r="C5"/>
          <cell r="D5"/>
        </row>
        <row r="6">
          <cell r="A6"/>
          <cell r="B6"/>
          <cell r="C6"/>
          <cell r="D6"/>
        </row>
        <row r="7">
          <cell r="A7"/>
          <cell r="B7"/>
          <cell r="C7"/>
          <cell r="D7"/>
        </row>
        <row r="8">
          <cell r="A8"/>
          <cell r="B8"/>
          <cell r="C8"/>
          <cell r="D8"/>
        </row>
        <row r="9">
          <cell r="A9"/>
          <cell r="B9"/>
          <cell r="C9"/>
          <cell r="D9"/>
        </row>
        <row r="10">
          <cell r="A10"/>
          <cell r="B10"/>
          <cell r="C10"/>
          <cell r="D10"/>
        </row>
        <row r="11">
          <cell r="A11"/>
          <cell r="B11"/>
          <cell r="C11"/>
          <cell r="D11"/>
        </row>
        <row r="12">
          <cell r="A12" t="str">
            <v>2) Franchir un obstacle</v>
          </cell>
          <cell r="B12"/>
          <cell r="C12"/>
          <cell r="D12"/>
        </row>
        <row r="13">
          <cell r="A13"/>
          <cell r="B13"/>
          <cell r="C13"/>
          <cell r="D13"/>
        </row>
        <row r="14">
          <cell r="A14"/>
          <cell r="B14"/>
          <cell r="C14"/>
          <cell r="D14"/>
        </row>
        <row r="15">
          <cell r="A15"/>
          <cell r="B15"/>
          <cell r="C15"/>
          <cell r="D15"/>
        </row>
        <row r="16">
          <cell r="A16"/>
          <cell r="B16"/>
          <cell r="C16"/>
          <cell r="D16"/>
        </row>
        <row r="17">
          <cell r="A17"/>
          <cell r="B17"/>
          <cell r="C17"/>
          <cell r="D17"/>
        </row>
        <row r="18">
          <cell r="A18"/>
          <cell r="B18"/>
          <cell r="C18"/>
          <cell r="D18"/>
        </row>
        <row r="19">
          <cell r="A19"/>
          <cell r="B19"/>
          <cell r="C19"/>
          <cell r="D19"/>
        </row>
        <row r="20">
          <cell r="A20" t="str">
            <v>3) Assurer le confort dans un milieu urbain</v>
          </cell>
          <cell r="B20"/>
          <cell r="C20"/>
          <cell r="D20"/>
        </row>
        <row r="21">
          <cell r="A21"/>
          <cell r="B21"/>
          <cell r="C21"/>
          <cell r="D21"/>
        </row>
        <row r="22">
          <cell r="A22"/>
          <cell r="B22"/>
          <cell r="C22"/>
          <cell r="D22"/>
        </row>
        <row r="23">
          <cell r="A23"/>
          <cell r="B23"/>
          <cell r="C23"/>
          <cell r="D23"/>
        </row>
        <row r="24">
          <cell r="A24"/>
          <cell r="B24"/>
          <cell r="C24"/>
          <cell r="D24"/>
        </row>
        <row r="25">
          <cell r="A25"/>
          <cell r="B25"/>
          <cell r="C25"/>
          <cell r="D25"/>
        </row>
        <row r="26">
          <cell r="A26"/>
          <cell r="B26"/>
          <cell r="C26"/>
          <cell r="D26"/>
        </row>
        <row r="27">
          <cell r="A27"/>
          <cell r="B27"/>
          <cell r="C27"/>
          <cell r="D27"/>
        </row>
        <row r="28">
          <cell r="A28" t="str">
            <v>4) Programmer un objet</v>
          </cell>
          <cell r="B28"/>
          <cell r="C28"/>
          <cell r="D28"/>
        </row>
        <row r="29">
          <cell r="A29"/>
          <cell r="B29"/>
          <cell r="C29"/>
          <cell r="D29"/>
        </row>
        <row r="30">
          <cell r="A30"/>
          <cell r="B30"/>
          <cell r="C30"/>
          <cell r="D30"/>
        </row>
        <row r="31">
          <cell r="A31"/>
          <cell r="B31"/>
          <cell r="C31"/>
          <cell r="D31"/>
        </row>
        <row r="32">
          <cell r="A32"/>
          <cell r="B32"/>
          <cell r="C32"/>
          <cell r="D32"/>
        </row>
        <row r="33">
          <cell r="A33"/>
          <cell r="B33"/>
          <cell r="C33"/>
          <cell r="D33"/>
        </row>
        <row r="34">
          <cell r="A34"/>
          <cell r="B34"/>
          <cell r="C34"/>
          <cell r="D34"/>
        </row>
        <row r="35">
          <cell r="A35"/>
          <cell r="B35"/>
          <cell r="C35"/>
          <cell r="D35"/>
        </row>
        <row r="36">
          <cell r="A36" t="str">
            <v>5) Découvrir son environnement</v>
          </cell>
          <cell r="B36" t="str">
            <v>Comment rendre une vue aérienne interactive ?</v>
          </cell>
          <cell r="C36"/>
          <cell r="D36" t="str">
            <v>s5</v>
          </cell>
        </row>
        <row r="37">
          <cell r="A37"/>
          <cell r="B37"/>
          <cell r="C37"/>
          <cell r="D37"/>
        </row>
        <row r="38">
          <cell r="A38"/>
          <cell r="B38"/>
          <cell r="C38"/>
          <cell r="D38"/>
        </row>
        <row r="39">
          <cell r="A39"/>
          <cell r="B39"/>
          <cell r="C39"/>
          <cell r="D39"/>
        </row>
        <row r="40">
          <cell r="A40"/>
          <cell r="B40"/>
          <cell r="C40"/>
          <cell r="D40"/>
        </row>
        <row r="41">
          <cell r="A41"/>
          <cell r="B41"/>
          <cell r="C41"/>
          <cell r="D41"/>
        </row>
        <row r="42">
          <cell r="A42"/>
          <cell r="B42"/>
          <cell r="C42"/>
          <cell r="D42"/>
        </row>
        <row r="43">
          <cell r="A43"/>
          <cell r="B43"/>
          <cell r="C43"/>
          <cell r="D43"/>
        </row>
        <row r="44">
          <cell r="A44" t="str">
            <v>6) Se déplacer sur terre, air, mer</v>
          </cell>
          <cell r="B44"/>
          <cell r="C44"/>
          <cell r="D44"/>
        </row>
        <row r="45">
          <cell r="A45"/>
          <cell r="B45"/>
          <cell r="C45"/>
          <cell r="D45"/>
        </row>
        <row r="46">
          <cell r="A46"/>
          <cell r="B46"/>
          <cell r="C46"/>
          <cell r="D46"/>
        </row>
        <row r="47">
          <cell r="A47"/>
          <cell r="B47"/>
          <cell r="C47"/>
          <cell r="D47"/>
        </row>
        <row r="48">
          <cell r="A48"/>
          <cell r="B48"/>
          <cell r="C48"/>
          <cell r="D48"/>
        </row>
        <row r="49">
          <cell r="A49"/>
          <cell r="B49"/>
          <cell r="C49"/>
          <cell r="D49"/>
        </row>
        <row r="50">
          <cell r="A50"/>
          <cell r="B50"/>
          <cell r="C50"/>
          <cell r="D50"/>
        </row>
        <row r="51">
          <cell r="A51"/>
          <cell r="B51"/>
          <cell r="C51"/>
          <cell r="D51"/>
        </row>
        <row r="52">
          <cell r="A52" t="str">
            <v>7) Préserver les ressources (économiser l'énergie et préserver l'environnement)</v>
          </cell>
          <cell r="B52"/>
          <cell r="C52"/>
          <cell r="D52"/>
        </row>
        <row r="53">
          <cell r="A53"/>
          <cell r="B53"/>
          <cell r="C53"/>
          <cell r="D53"/>
        </row>
        <row r="54">
          <cell r="A54"/>
          <cell r="B54"/>
          <cell r="C54"/>
          <cell r="D54"/>
        </row>
        <row r="55">
          <cell r="A55"/>
          <cell r="B55"/>
          <cell r="C55"/>
          <cell r="D55"/>
        </row>
        <row r="56">
          <cell r="A56"/>
          <cell r="B56"/>
          <cell r="C56"/>
          <cell r="D56"/>
        </row>
        <row r="57">
          <cell r="A57"/>
          <cell r="B57"/>
          <cell r="C57"/>
          <cell r="D57"/>
        </row>
        <row r="58">
          <cell r="A58"/>
          <cell r="B58"/>
          <cell r="C58"/>
          <cell r="D58"/>
        </row>
        <row r="59">
          <cell r="A59"/>
          <cell r="B59"/>
          <cell r="C59"/>
          <cell r="D59"/>
        </row>
        <row r="60">
          <cell r="A60" t="str">
            <v>8) Acquérir et transmettre des informations ou des données</v>
          </cell>
          <cell r="B60"/>
          <cell r="C60"/>
          <cell r="D60"/>
        </row>
        <row r="61">
          <cell r="A61"/>
          <cell r="B61"/>
          <cell r="C61"/>
          <cell r="D61"/>
        </row>
        <row r="62">
          <cell r="A62"/>
          <cell r="B62"/>
          <cell r="C62"/>
          <cell r="D62"/>
        </row>
        <row r="63">
          <cell r="A63"/>
          <cell r="B63"/>
          <cell r="C63"/>
          <cell r="D63"/>
        </row>
        <row r="64">
          <cell r="A64"/>
          <cell r="B64"/>
          <cell r="C64"/>
          <cell r="D64"/>
        </row>
        <row r="65">
          <cell r="A65"/>
          <cell r="B65"/>
          <cell r="C65"/>
          <cell r="D65"/>
        </row>
        <row r="66">
          <cell r="A66"/>
          <cell r="B66"/>
          <cell r="C66"/>
          <cell r="D66"/>
        </row>
        <row r="67">
          <cell r="A67"/>
          <cell r="B67"/>
          <cell r="C67"/>
          <cell r="D67"/>
        </row>
        <row r="68">
          <cell r="A68" t="str">
            <v>9) Aménager un espace</v>
          </cell>
          <cell r="B68"/>
          <cell r="C68"/>
          <cell r="D68"/>
        </row>
        <row r="69">
          <cell r="A69"/>
          <cell r="B69"/>
          <cell r="C69"/>
          <cell r="D69"/>
        </row>
        <row r="70">
          <cell r="A70"/>
          <cell r="B70"/>
          <cell r="C70"/>
          <cell r="D70"/>
        </row>
        <row r="71">
          <cell r="A71"/>
          <cell r="B71"/>
          <cell r="C71"/>
          <cell r="D71"/>
        </row>
        <row r="72">
          <cell r="A72"/>
          <cell r="B72"/>
          <cell r="C72"/>
          <cell r="D72"/>
        </row>
        <row r="73">
          <cell r="A73"/>
          <cell r="B73"/>
          <cell r="C73"/>
          <cell r="D73"/>
        </row>
        <row r="74">
          <cell r="A74"/>
          <cell r="B74"/>
          <cell r="C74"/>
          <cell r="D74"/>
        </row>
        <row r="75">
          <cell r="A75"/>
          <cell r="B75"/>
          <cell r="C75"/>
          <cell r="D75"/>
        </row>
        <row r="76">
          <cell r="A76" t="str">
            <v>10) Préserver la santé et aider l'homme</v>
          </cell>
          <cell r="B76"/>
          <cell r="C76"/>
          <cell r="D76"/>
        </row>
        <row r="77">
          <cell r="A77"/>
          <cell r="B77"/>
          <cell r="C77"/>
          <cell r="D77"/>
        </row>
        <row r="78">
          <cell r="A78"/>
          <cell r="B78"/>
          <cell r="C78"/>
          <cell r="D78"/>
        </row>
        <row r="79">
          <cell r="A79"/>
          <cell r="B79"/>
          <cell r="C79"/>
          <cell r="D79"/>
        </row>
        <row r="80">
          <cell r="A80"/>
          <cell r="B80"/>
          <cell r="C80"/>
          <cell r="D80"/>
        </row>
        <row r="81">
          <cell r="A81"/>
          <cell r="B81"/>
          <cell r="C81"/>
          <cell r="D81"/>
        </row>
        <row r="82">
          <cell r="A82"/>
          <cell r="B82"/>
          <cell r="C82"/>
          <cell r="D82"/>
        </row>
        <row r="83">
          <cell r="A83"/>
          <cell r="B83"/>
          <cell r="C83"/>
          <cell r="D83"/>
        </row>
        <row r="84">
          <cell r="A84" t="str">
            <v>11) Thème libre</v>
          </cell>
          <cell r="B84"/>
          <cell r="C84"/>
          <cell r="D84"/>
        </row>
        <row r="85">
          <cell r="A85"/>
          <cell r="B85"/>
          <cell r="C85"/>
          <cell r="D85"/>
        </row>
        <row r="86">
          <cell r="A86"/>
          <cell r="B86"/>
          <cell r="C86"/>
          <cell r="D86"/>
        </row>
        <row r="87">
          <cell r="A87"/>
          <cell r="B87"/>
          <cell r="C87"/>
          <cell r="D87"/>
        </row>
        <row r="88">
          <cell r="A88"/>
          <cell r="B88"/>
          <cell r="C88"/>
          <cell r="D88"/>
        </row>
        <row r="89">
          <cell r="A89"/>
          <cell r="B89"/>
          <cell r="C89"/>
          <cell r="D89"/>
        </row>
        <row r="90">
          <cell r="A90"/>
          <cell r="B90"/>
          <cell r="C90"/>
          <cell r="D90"/>
        </row>
        <row r="91">
          <cell r="A91"/>
          <cell r="B91"/>
          <cell r="C91"/>
          <cell r="D91"/>
        </row>
        <row r="92">
          <cell r="A92" t="str">
            <v>12) Thème libre</v>
          </cell>
          <cell r="B92"/>
          <cell r="C92"/>
          <cell r="D92"/>
        </row>
        <row r="93">
          <cell r="A93"/>
          <cell r="B93"/>
          <cell r="C93"/>
          <cell r="D93"/>
        </row>
        <row r="94">
          <cell r="A94"/>
          <cell r="B94"/>
          <cell r="C94"/>
          <cell r="D94"/>
        </row>
        <row r="95">
          <cell r="A95"/>
          <cell r="B95"/>
          <cell r="C95"/>
          <cell r="D95"/>
        </row>
        <row r="96">
          <cell r="A96"/>
          <cell r="B96"/>
          <cell r="C96"/>
          <cell r="D96"/>
        </row>
        <row r="97">
          <cell r="A97"/>
          <cell r="B97"/>
          <cell r="C97"/>
          <cell r="D97"/>
        </row>
        <row r="98">
          <cell r="A98"/>
          <cell r="B98"/>
          <cell r="C98"/>
          <cell r="D98"/>
        </row>
        <row r="99">
          <cell r="A99"/>
          <cell r="B99"/>
          <cell r="C99"/>
          <cell r="D99"/>
        </row>
        <row r="100">
          <cell r="A100" t="str">
            <v>13) Thème libre</v>
          </cell>
          <cell r="B100"/>
          <cell r="C100"/>
          <cell r="D100"/>
        </row>
        <row r="101">
          <cell r="A101"/>
          <cell r="B101"/>
          <cell r="C101"/>
          <cell r="D101"/>
        </row>
        <row r="102">
          <cell r="A102"/>
          <cell r="B102"/>
          <cell r="C102"/>
          <cell r="D102"/>
        </row>
        <row r="103">
          <cell r="A103"/>
          <cell r="B103"/>
          <cell r="C103"/>
          <cell r="D103"/>
        </row>
        <row r="104">
          <cell r="A104"/>
          <cell r="B104"/>
          <cell r="C104"/>
          <cell r="D104"/>
        </row>
        <row r="105">
          <cell r="A105"/>
          <cell r="B105"/>
          <cell r="C105"/>
          <cell r="D105"/>
        </row>
        <row r="106">
          <cell r="A106"/>
          <cell r="B106"/>
          <cell r="C106"/>
          <cell r="D106"/>
        </row>
        <row r="107">
          <cell r="A107"/>
          <cell r="B107"/>
          <cell r="C107"/>
          <cell r="D107"/>
        </row>
        <row r="108">
          <cell r="A108" t="str">
            <v>Projet 1 Aménager un jardin</v>
          </cell>
          <cell r="B108"/>
          <cell r="C108"/>
          <cell r="D108"/>
        </row>
        <row r="109">
          <cell r="A109"/>
          <cell r="B109"/>
          <cell r="C109"/>
          <cell r="D109"/>
        </row>
        <row r="110">
          <cell r="A110" t="str">
            <v>Projet 2 L'odinateur Low Cost</v>
          </cell>
          <cell r="B110"/>
          <cell r="C110"/>
          <cell r="D110"/>
        </row>
        <row r="111">
          <cell r="A111"/>
          <cell r="B111"/>
          <cell r="C111"/>
          <cell r="D111"/>
        </row>
        <row r="112">
          <cell r="A112" t="str">
            <v>Projet 3 Automatiser le fonctionnement d'une serre aquaponique</v>
          </cell>
          <cell r="B112"/>
          <cell r="C112"/>
          <cell r="D112"/>
        </row>
        <row r="113">
          <cell r="A113"/>
          <cell r="B113"/>
          <cell r="C113"/>
          <cell r="D113"/>
        </row>
        <row r="114">
          <cell r="A114"/>
          <cell r="B114"/>
          <cell r="C114"/>
          <cell r="D114"/>
        </row>
        <row r="115">
          <cell r="A115" t="str">
            <v>Projet 4 Challenge robotique</v>
          </cell>
          <cell r="B115"/>
          <cell r="C115"/>
          <cell r="D115"/>
        </row>
        <row r="116">
          <cell r="A116"/>
          <cell r="B116"/>
          <cell r="C116"/>
          <cell r="D116"/>
        </row>
        <row r="117">
          <cell r="A117"/>
          <cell r="B117"/>
          <cell r="C117"/>
          <cell r="D117"/>
        </row>
      </sheetData>
      <sheetData sheetId="4"/>
      <sheetData sheetId="5"/>
      <sheetData sheetId="6"/>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P63"/>
  <sheetViews>
    <sheetView topLeftCell="C7" workbookViewId="0">
      <selection activeCell="D9" sqref="D9:F9"/>
    </sheetView>
  </sheetViews>
  <sheetFormatPr baseColWidth="10" defaultRowHeight="15"/>
  <cols>
    <col min="2" max="2" width="13.140625" customWidth="1"/>
    <col min="3" max="3" width="14" customWidth="1"/>
    <col min="4" max="4" width="13.7109375" customWidth="1"/>
  </cols>
  <sheetData>
    <row r="1" spans="1:16" ht="15.75" thickBot="1">
      <c r="A1" s="94"/>
      <c r="B1" s="89"/>
      <c r="C1" s="89"/>
      <c r="D1" s="89"/>
      <c r="E1" s="89"/>
      <c r="F1" s="89"/>
      <c r="G1" s="89"/>
      <c r="H1" s="89"/>
      <c r="I1" s="90"/>
    </row>
    <row r="2" spans="1:16">
      <c r="A2" s="95"/>
      <c r="B2" s="94"/>
      <c r="C2" s="89"/>
      <c r="D2" s="89"/>
      <c r="E2" s="89"/>
      <c r="F2" s="89"/>
      <c r="G2" s="89"/>
      <c r="H2" s="90"/>
      <c r="I2" s="92"/>
    </row>
    <row r="3" spans="1:16" ht="18.75">
      <c r="A3" s="95"/>
      <c r="B3" s="652" t="s">
        <v>435</v>
      </c>
      <c r="C3" s="653"/>
      <c r="D3" s="653"/>
      <c r="E3" s="653"/>
      <c r="F3" s="653"/>
      <c r="G3" s="653"/>
      <c r="H3" s="654"/>
      <c r="I3" s="92"/>
      <c r="P3" s="88"/>
    </row>
    <row r="4" spans="1:16">
      <c r="A4" s="95"/>
      <c r="B4" s="95"/>
      <c r="C4" s="3"/>
      <c r="D4" s="3"/>
      <c r="E4" s="3"/>
      <c r="F4" s="3"/>
      <c r="G4" s="3"/>
      <c r="H4" s="92"/>
      <c r="I4" s="92"/>
    </row>
    <row r="5" spans="1:16" ht="21">
      <c r="A5" s="95"/>
      <c r="B5" s="99"/>
      <c r="C5" s="101"/>
      <c r="D5" s="101"/>
      <c r="E5" s="97" t="s">
        <v>260</v>
      </c>
      <c r="F5" s="101"/>
      <c r="G5" s="101"/>
      <c r="H5" s="100"/>
      <c r="I5" s="92"/>
    </row>
    <row r="6" spans="1:16">
      <c r="A6" s="95"/>
      <c r="B6" s="95"/>
      <c r="C6" s="3"/>
      <c r="D6" s="3"/>
      <c r="E6" s="3"/>
      <c r="F6" s="3"/>
      <c r="G6" s="3"/>
      <c r="H6" s="92"/>
      <c r="I6" s="92"/>
    </row>
    <row r="7" spans="1:16" ht="21">
      <c r="A7" s="95"/>
      <c r="B7" s="647" t="s">
        <v>305</v>
      </c>
      <c r="C7" s="648"/>
      <c r="D7" s="648"/>
      <c r="E7" s="648"/>
      <c r="F7" s="648"/>
      <c r="G7" s="648"/>
      <c r="H7" s="649"/>
      <c r="I7" s="92"/>
    </row>
    <row r="8" spans="1:16">
      <c r="A8" s="95"/>
      <c r="B8" s="95"/>
      <c r="C8" s="3"/>
      <c r="D8" s="3"/>
      <c r="E8" s="3"/>
      <c r="F8" s="3"/>
      <c r="G8" s="3"/>
      <c r="H8" s="92"/>
      <c r="I8" s="92"/>
    </row>
    <row r="9" spans="1:16">
      <c r="A9" s="95"/>
      <c r="B9" s="95"/>
      <c r="C9" s="3"/>
      <c r="D9" s="615" t="s">
        <v>306</v>
      </c>
      <c r="E9" s="615"/>
      <c r="F9" s="615"/>
      <c r="G9" s="3"/>
      <c r="H9" s="92"/>
      <c r="I9" s="92"/>
    </row>
    <row r="10" spans="1:16" ht="15.75" thickBot="1">
      <c r="A10" s="95"/>
      <c r="B10" s="664" t="s">
        <v>274</v>
      </c>
      <c r="C10" s="665"/>
      <c r="D10" s="665"/>
      <c r="E10" s="665"/>
      <c r="F10" s="665"/>
      <c r="G10" s="665"/>
      <c r="H10" s="666"/>
      <c r="I10" s="92"/>
      <c r="P10" s="88"/>
    </row>
    <row r="11" spans="1:16" ht="15.75" thickBot="1">
      <c r="A11" s="95"/>
      <c r="B11" s="3"/>
      <c r="C11" s="3"/>
      <c r="D11" s="3"/>
      <c r="E11" s="3"/>
      <c r="F11" s="3"/>
      <c r="G11" s="3"/>
      <c r="H11" s="3"/>
      <c r="I11" s="92"/>
    </row>
    <row r="12" spans="1:16" ht="15.75" thickBot="1">
      <c r="A12" s="95"/>
      <c r="B12" s="640" t="s">
        <v>270</v>
      </c>
      <c r="C12" s="641"/>
      <c r="D12" s="641"/>
      <c r="E12" s="641"/>
      <c r="F12" s="641"/>
      <c r="G12" s="641"/>
      <c r="H12" s="642"/>
      <c r="I12" s="92"/>
    </row>
    <row r="13" spans="1:16" ht="15.75" thickBot="1">
      <c r="A13" s="95"/>
      <c r="B13" s="3"/>
      <c r="C13" s="3"/>
      <c r="D13" s="3"/>
      <c r="E13" s="3"/>
      <c r="F13" s="3"/>
      <c r="G13" s="3"/>
      <c r="H13" s="3"/>
      <c r="I13" s="92"/>
      <c r="P13" s="88"/>
    </row>
    <row r="14" spans="1:16" ht="17.25">
      <c r="A14" s="95"/>
      <c r="B14" s="3"/>
      <c r="C14" s="94"/>
      <c r="D14" s="78" t="s">
        <v>317</v>
      </c>
      <c r="E14" s="78" t="s">
        <v>318</v>
      </c>
      <c r="F14" s="78" t="s">
        <v>319</v>
      </c>
      <c r="G14" s="79" t="s">
        <v>320</v>
      </c>
      <c r="H14" s="3"/>
      <c r="I14" s="92"/>
    </row>
    <row r="15" spans="1:16">
      <c r="A15" s="95"/>
      <c r="B15" s="3"/>
      <c r="C15" s="104" t="s">
        <v>434</v>
      </c>
      <c r="D15" s="105"/>
      <c r="E15" s="105"/>
      <c r="F15" s="105"/>
      <c r="G15" s="106"/>
      <c r="H15" s="3"/>
      <c r="I15" s="92"/>
    </row>
    <row r="16" spans="1:16" s="91" customFormat="1">
      <c r="A16" s="95"/>
      <c r="B16" s="3"/>
      <c r="C16" s="36" t="s">
        <v>268</v>
      </c>
      <c r="D16" s="105"/>
      <c r="E16" s="105"/>
      <c r="F16" s="105"/>
      <c r="G16" s="34"/>
      <c r="H16" s="3"/>
      <c r="I16" s="92"/>
    </row>
    <row r="17" spans="1:16" s="91" customFormat="1">
      <c r="A17" s="95"/>
      <c r="B17" s="3"/>
      <c r="C17" s="36" t="s">
        <v>269</v>
      </c>
      <c r="D17" s="619"/>
      <c r="E17" s="620"/>
      <c r="F17" s="621"/>
      <c r="G17" s="34"/>
      <c r="H17" s="3"/>
      <c r="I17" s="92"/>
    </row>
    <row r="18" spans="1:16" s="91" customFormat="1" ht="15.75" thickBot="1">
      <c r="A18" s="95"/>
      <c r="B18" s="3"/>
      <c r="C18" s="32" t="s">
        <v>272</v>
      </c>
      <c r="D18" s="30"/>
      <c r="E18" s="616"/>
      <c r="F18" s="617"/>
      <c r="G18" s="618"/>
      <c r="H18" s="3"/>
      <c r="I18" s="92"/>
    </row>
    <row r="19" spans="1:16" ht="15.75" thickBot="1">
      <c r="A19" s="95"/>
      <c r="B19" s="3"/>
      <c r="C19" s="3"/>
      <c r="D19" s="3"/>
      <c r="E19" s="3"/>
      <c r="F19" s="3"/>
      <c r="G19" s="3"/>
      <c r="H19" s="3"/>
      <c r="I19" s="92"/>
      <c r="P19" s="88"/>
    </row>
    <row r="20" spans="1:16" ht="15.75" thickBot="1">
      <c r="A20" s="95"/>
      <c r="B20" s="640" t="s">
        <v>261</v>
      </c>
      <c r="C20" s="641"/>
      <c r="D20" s="641"/>
      <c r="E20" s="641"/>
      <c r="F20" s="641"/>
      <c r="G20" s="641"/>
      <c r="H20" s="642"/>
      <c r="I20" s="92"/>
    </row>
    <row r="21" spans="1:16" ht="15.75" thickBot="1">
      <c r="A21" s="95"/>
      <c r="B21" s="3"/>
      <c r="C21" s="3"/>
      <c r="D21" s="3"/>
      <c r="E21" s="3"/>
      <c r="F21" s="3"/>
      <c r="G21" s="3"/>
      <c r="H21" s="3"/>
      <c r="I21" s="92"/>
    </row>
    <row r="22" spans="1:16" s="149" customFormat="1" ht="15.75" thickBot="1">
      <c r="A22" s="95"/>
      <c r="B22" s="3"/>
      <c r="C22" s="102" t="s">
        <v>321</v>
      </c>
      <c r="D22" s="650"/>
      <c r="E22" s="651"/>
      <c r="F22" s="78" t="s">
        <v>275</v>
      </c>
      <c r="G22" s="79"/>
      <c r="H22" s="3"/>
      <c r="I22" s="150"/>
    </row>
    <row r="23" spans="1:16" s="149" customFormat="1">
      <c r="A23" s="95"/>
      <c r="B23" s="3"/>
      <c r="C23" s="102" t="s">
        <v>321</v>
      </c>
      <c r="D23" s="655"/>
      <c r="E23" s="658"/>
      <c r="F23" s="9" t="s">
        <v>275</v>
      </c>
      <c r="G23" s="34"/>
      <c r="H23" s="3"/>
      <c r="I23" s="150"/>
    </row>
    <row r="24" spans="1:16" ht="15.75" thickBot="1">
      <c r="A24" s="95"/>
      <c r="B24" s="3"/>
      <c r="C24" s="367" t="s">
        <v>321</v>
      </c>
      <c r="D24" s="622"/>
      <c r="E24" s="623"/>
      <c r="F24" s="312" t="s">
        <v>275</v>
      </c>
      <c r="G24" s="313"/>
      <c r="H24" s="3"/>
      <c r="I24" s="92"/>
      <c r="P24" s="88"/>
    </row>
    <row r="25" spans="1:16" ht="15.75" thickBot="1">
      <c r="A25" s="95"/>
      <c r="B25" s="3"/>
      <c r="C25" s="366" t="s">
        <v>321</v>
      </c>
      <c r="D25" s="624"/>
      <c r="E25" s="625"/>
      <c r="F25" s="30" t="s">
        <v>275</v>
      </c>
      <c r="G25" s="29"/>
      <c r="H25" s="3"/>
      <c r="I25" s="92"/>
    </row>
    <row r="26" spans="1:16" ht="15.75" thickBot="1">
      <c r="A26" s="95"/>
      <c r="B26" s="3"/>
      <c r="C26" s="3"/>
      <c r="D26" s="3"/>
      <c r="E26" s="3"/>
      <c r="F26" s="3"/>
      <c r="G26" s="3"/>
      <c r="H26" s="3"/>
      <c r="I26" s="92"/>
    </row>
    <row r="27" spans="1:16">
      <c r="A27" s="95"/>
      <c r="B27" s="3"/>
      <c r="C27" s="659" t="s">
        <v>262</v>
      </c>
      <c r="D27" s="660"/>
      <c r="E27" s="103"/>
      <c r="F27" s="98"/>
      <c r="G27" s="98"/>
      <c r="H27" s="98"/>
      <c r="I27" s="92"/>
    </row>
    <row r="28" spans="1:16" ht="15.75" thickBot="1">
      <c r="A28" s="95"/>
      <c r="B28" s="3"/>
      <c r="C28" s="32" t="s">
        <v>264</v>
      </c>
      <c r="D28" s="30" t="s">
        <v>263</v>
      </c>
      <c r="E28" s="29"/>
      <c r="F28" s="3"/>
      <c r="G28" s="3"/>
      <c r="H28" s="3"/>
      <c r="I28" s="92"/>
    </row>
    <row r="29" spans="1:16" ht="15.75" thickBot="1">
      <c r="A29" s="95"/>
      <c r="B29" s="3"/>
      <c r="C29" s="3"/>
      <c r="D29" s="3"/>
      <c r="E29" s="3"/>
      <c r="F29" s="3"/>
      <c r="G29" s="3"/>
      <c r="H29" s="3"/>
      <c r="I29" s="92"/>
    </row>
    <row r="30" spans="1:16" ht="15.75" thickBot="1">
      <c r="A30" s="95"/>
      <c r="B30" s="640" t="s">
        <v>266</v>
      </c>
      <c r="C30" s="641"/>
      <c r="D30" s="641"/>
      <c r="E30" s="641"/>
      <c r="F30" s="641"/>
      <c r="G30" s="641"/>
      <c r="H30" s="642"/>
      <c r="I30" s="92"/>
    </row>
    <row r="31" spans="1:16" ht="15.75" thickBot="1">
      <c r="A31" s="95"/>
      <c r="B31" s="3"/>
      <c r="C31" s="3"/>
      <c r="D31" s="3"/>
      <c r="E31" s="3"/>
      <c r="F31" s="3"/>
      <c r="G31" s="3"/>
      <c r="H31" s="3"/>
      <c r="I31" s="92"/>
    </row>
    <row r="32" spans="1:16">
      <c r="A32" s="95"/>
      <c r="B32" s="3"/>
      <c r="C32" s="107" t="s">
        <v>271</v>
      </c>
      <c r="D32" s="643"/>
      <c r="E32" s="643"/>
      <c r="F32" s="643"/>
      <c r="G32" s="644"/>
      <c r="H32" s="3"/>
      <c r="I32" s="92"/>
    </row>
    <row r="33" spans="1:9">
      <c r="A33" s="95"/>
      <c r="B33" s="3"/>
      <c r="C33" s="108" t="s">
        <v>307</v>
      </c>
      <c r="D33" s="636"/>
      <c r="E33" s="636"/>
      <c r="F33" s="636"/>
      <c r="G33" s="637"/>
      <c r="H33" s="3"/>
      <c r="I33" s="92"/>
    </row>
    <row r="34" spans="1:9" ht="15.75" thickBot="1">
      <c r="A34" s="95"/>
      <c r="B34" s="3"/>
      <c r="C34" s="109" t="s">
        <v>308</v>
      </c>
      <c r="D34" s="638"/>
      <c r="E34" s="638"/>
      <c r="F34" s="638"/>
      <c r="G34" s="639"/>
      <c r="H34" s="3"/>
      <c r="I34" s="92"/>
    </row>
    <row r="35" spans="1:9" ht="15.75" thickBot="1">
      <c r="A35" s="95"/>
      <c r="B35" s="3"/>
      <c r="C35" s="3"/>
      <c r="D35" s="3"/>
      <c r="E35" s="3"/>
      <c r="F35" s="3"/>
      <c r="G35" s="3"/>
      <c r="H35" s="3"/>
      <c r="I35" s="92"/>
    </row>
    <row r="36" spans="1:9" ht="15.75" thickBot="1">
      <c r="A36" s="95"/>
      <c r="B36" s="640" t="s">
        <v>433</v>
      </c>
      <c r="C36" s="641"/>
      <c r="D36" s="641"/>
      <c r="E36" s="641"/>
      <c r="F36" s="641"/>
      <c r="G36" s="641"/>
      <c r="H36" s="642"/>
      <c r="I36" s="92"/>
    </row>
    <row r="37" spans="1:9">
      <c r="A37" s="95"/>
      <c r="B37" s="3"/>
      <c r="C37" s="3"/>
      <c r="D37" s="3"/>
      <c r="E37" s="3"/>
      <c r="F37" s="3"/>
      <c r="G37" s="3"/>
      <c r="H37" s="3"/>
      <c r="I37" s="92"/>
    </row>
    <row r="38" spans="1:9">
      <c r="A38" s="95"/>
      <c r="B38" s="3"/>
      <c r="C38" s="656" t="s">
        <v>0</v>
      </c>
      <c r="D38" s="657"/>
      <c r="E38" s="661"/>
      <c r="F38" s="662"/>
      <c r="G38" s="663"/>
      <c r="H38" s="3"/>
      <c r="I38" s="92"/>
    </row>
    <row r="39" spans="1:9">
      <c r="A39" s="95"/>
      <c r="B39" s="3"/>
      <c r="C39" s="656" t="s">
        <v>323</v>
      </c>
      <c r="D39" s="657"/>
      <c r="E39" s="655"/>
      <c r="F39" s="636"/>
      <c r="G39" s="637"/>
      <c r="H39" s="3"/>
      <c r="I39" s="92"/>
    </row>
    <row r="40" spans="1:9">
      <c r="A40" s="95"/>
      <c r="B40" s="3"/>
      <c r="C40" s="656" t="s">
        <v>309</v>
      </c>
      <c r="D40" s="657"/>
      <c r="E40" s="655"/>
      <c r="F40" s="636"/>
      <c r="G40" s="637"/>
      <c r="H40" s="3"/>
      <c r="I40" s="92"/>
    </row>
    <row r="41" spans="1:9" ht="15.75" thickBot="1">
      <c r="A41" s="95"/>
      <c r="B41" s="3"/>
      <c r="C41" s="645" t="s">
        <v>311</v>
      </c>
      <c r="D41" s="646"/>
      <c r="E41" s="624"/>
      <c r="F41" s="638"/>
      <c r="G41" s="639"/>
      <c r="H41" s="3"/>
      <c r="I41" s="92"/>
    </row>
    <row r="42" spans="1:9" ht="15.75" thickBot="1">
      <c r="A42" s="95"/>
      <c r="B42" s="3"/>
      <c r="C42" s="3"/>
      <c r="D42" s="3"/>
      <c r="E42" s="3"/>
      <c r="F42" s="3"/>
      <c r="G42" s="3"/>
      <c r="H42" s="3"/>
      <c r="I42" s="92"/>
    </row>
    <row r="43" spans="1:9" ht="15.75" thickBot="1">
      <c r="A43" s="95"/>
      <c r="B43" s="640" t="s">
        <v>432</v>
      </c>
      <c r="C43" s="641"/>
      <c r="D43" s="641"/>
      <c r="E43" s="641"/>
      <c r="F43" s="641"/>
      <c r="G43" s="641"/>
      <c r="H43" s="642"/>
      <c r="I43" s="92"/>
    </row>
    <row r="44" spans="1:9">
      <c r="A44" s="95"/>
      <c r="B44" s="3"/>
      <c r="C44" s="3"/>
      <c r="D44" s="3"/>
      <c r="E44" s="3"/>
      <c r="F44" s="3"/>
      <c r="G44" s="3"/>
      <c r="H44" s="3"/>
      <c r="I44" s="92"/>
    </row>
    <row r="45" spans="1:9">
      <c r="A45" s="95"/>
      <c r="B45" s="3"/>
      <c r="C45" s="631" t="s">
        <v>265</v>
      </c>
      <c r="D45" s="632"/>
      <c r="E45" s="632"/>
      <c r="F45" s="632"/>
      <c r="G45" s="633"/>
      <c r="H45" s="3"/>
      <c r="I45" s="92"/>
    </row>
    <row r="46" spans="1:9">
      <c r="A46" s="95"/>
      <c r="B46" s="3"/>
      <c r="C46" s="631" t="s">
        <v>312</v>
      </c>
      <c r="D46" s="632"/>
      <c r="E46" s="634"/>
      <c r="F46" s="634"/>
      <c r="G46" s="635"/>
      <c r="H46" s="3"/>
      <c r="I46" s="92"/>
    </row>
    <row r="47" spans="1:9">
      <c r="A47" s="95"/>
      <c r="B47" s="3"/>
      <c r="C47" s="631" t="s">
        <v>309</v>
      </c>
      <c r="D47" s="632"/>
      <c r="E47" s="634"/>
      <c r="F47" s="634"/>
      <c r="G47" s="635"/>
      <c r="H47" s="3"/>
      <c r="I47" s="92"/>
    </row>
    <row r="48" spans="1:9" ht="15.75" thickBot="1">
      <c r="A48" s="95"/>
      <c r="B48" s="3"/>
      <c r="C48" s="611" t="s">
        <v>310</v>
      </c>
      <c r="D48" s="612"/>
      <c r="E48" s="613"/>
      <c r="F48" s="613"/>
      <c r="G48" s="614"/>
      <c r="H48" s="3"/>
      <c r="I48" s="92"/>
    </row>
    <row r="49" spans="1:9" ht="15.75" thickBot="1">
      <c r="A49" s="95"/>
      <c r="B49" s="3"/>
      <c r="C49" s="3"/>
      <c r="D49" s="3"/>
      <c r="E49" s="3"/>
      <c r="F49" s="3"/>
      <c r="G49" s="3"/>
      <c r="H49" s="3"/>
      <c r="I49" s="92"/>
    </row>
    <row r="50" spans="1:9" ht="15.75" thickBot="1">
      <c r="A50" s="95"/>
      <c r="B50" s="640" t="s">
        <v>431</v>
      </c>
      <c r="C50" s="641"/>
      <c r="D50" s="641"/>
      <c r="E50" s="641"/>
      <c r="F50" s="641"/>
      <c r="G50" s="641"/>
      <c r="H50" s="642"/>
      <c r="I50" s="92"/>
    </row>
    <row r="51" spans="1:9" ht="15.75" thickBot="1">
      <c r="A51" s="95"/>
      <c r="B51" s="3"/>
      <c r="C51" s="3"/>
      <c r="D51" s="3"/>
      <c r="E51" s="3"/>
      <c r="F51" s="3"/>
      <c r="G51" s="3"/>
      <c r="H51" s="3"/>
      <c r="I51" s="92"/>
    </row>
    <row r="52" spans="1:9">
      <c r="A52" s="95"/>
      <c r="B52" s="3"/>
      <c r="C52" s="626" t="s">
        <v>322</v>
      </c>
      <c r="D52" s="627"/>
      <c r="E52" s="628"/>
      <c r="F52" s="629"/>
      <c r="G52" s="630"/>
      <c r="H52" s="3"/>
      <c r="I52" s="92"/>
    </row>
    <row r="53" spans="1:9">
      <c r="A53" s="95"/>
      <c r="B53" s="3"/>
      <c r="C53" s="631" t="s">
        <v>267</v>
      </c>
      <c r="D53" s="632"/>
      <c r="E53" s="632"/>
      <c r="F53" s="632"/>
      <c r="G53" s="633"/>
      <c r="H53" s="3"/>
      <c r="I53" s="92"/>
    </row>
    <row r="54" spans="1:9">
      <c r="A54" s="95"/>
      <c r="B54" s="3"/>
      <c r="C54" s="631" t="s">
        <v>324</v>
      </c>
      <c r="D54" s="632"/>
      <c r="E54" s="634"/>
      <c r="F54" s="634"/>
      <c r="G54" s="635"/>
      <c r="H54" s="3"/>
      <c r="I54" s="92"/>
    </row>
    <row r="55" spans="1:9" ht="15.75" thickBot="1">
      <c r="A55" s="95"/>
      <c r="B55" s="3"/>
      <c r="C55" s="611" t="s">
        <v>310</v>
      </c>
      <c r="D55" s="612"/>
      <c r="E55" s="613"/>
      <c r="F55" s="613"/>
      <c r="G55" s="614"/>
      <c r="H55" s="3"/>
      <c r="I55" s="92"/>
    </row>
    <row r="56" spans="1:9" ht="15.75" thickBot="1">
      <c r="A56" s="95"/>
      <c r="B56" s="3"/>
      <c r="C56" s="3"/>
      <c r="D56" s="3"/>
      <c r="E56" s="3"/>
      <c r="F56" s="3"/>
      <c r="G56" s="3"/>
      <c r="H56" s="3"/>
      <c r="I56" s="92"/>
    </row>
    <row r="57" spans="1:9" ht="15.75" thickBot="1">
      <c r="A57" s="95"/>
      <c r="B57" s="640" t="s">
        <v>273</v>
      </c>
      <c r="C57" s="641"/>
      <c r="D57" s="641"/>
      <c r="E57" s="641"/>
      <c r="F57" s="641"/>
      <c r="G57" s="641"/>
      <c r="H57" s="642"/>
      <c r="I57" s="92"/>
    </row>
    <row r="58" spans="1:9" ht="15.75" thickBot="1">
      <c r="A58" s="95"/>
      <c r="B58" s="3"/>
      <c r="C58" s="3"/>
      <c r="D58" s="3"/>
      <c r="E58" s="3"/>
      <c r="F58" s="3"/>
      <c r="G58" s="3"/>
      <c r="H58" s="3"/>
      <c r="I58" s="92"/>
    </row>
    <row r="59" spans="1:9">
      <c r="A59" s="95"/>
      <c r="B59" s="3"/>
      <c r="C59" s="626"/>
      <c r="D59" s="627"/>
      <c r="E59" s="628"/>
      <c r="F59" s="629"/>
      <c r="G59" s="630"/>
      <c r="H59" s="3"/>
      <c r="I59" s="92"/>
    </row>
    <row r="60" spans="1:9">
      <c r="A60" s="95"/>
      <c r="B60" s="3"/>
      <c r="C60" s="631"/>
      <c r="D60" s="632"/>
      <c r="E60" s="632"/>
      <c r="F60" s="632"/>
      <c r="G60" s="633"/>
      <c r="H60" s="3"/>
      <c r="I60" s="92"/>
    </row>
    <row r="61" spans="1:9">
      <c r="A61" s="95"/>
      <c r="B61" s="3"/>
      <c r="C61" s="631"/>
      <c r="D61" s="632"/>
      <c r="E61" s="634"/>
      <c r="F61" s="634"/>
      <c r="G61" s="635"/>
      <c r="H61" s="3"/>
      <c r="I61" s="92"/>
    </row>
    <row r="62" spans="1:9" ht="15.75" thickBot="1">
      <c r="A62" s="95"/>
      <c r="B62" s="3"/>
      <c r="C62" s="611"/>
      <c r="D62" s="612"/>
      <c r="E62" s="613"/>
      <c r="F62" s="613"/>
      <c r="G62" s="614"/>
      <c r="H62" s="3"/>
      <c r="I62" s="92"/>
    </row>
    <row r="63" spans="1:9" ht="15.75" thickBot="1">
      <c r="A63" s="96"/>
      <c r="B63" s="10"/>
      <c r="C63" s="10"/>
      <c r="D63" s="10"/>
      <c r="E63" s="10"/>
      <c r="F63" s="10"/>
      <c r="G63" s="10"/>
      <c r="H63" s="10"/>
      <c r="I63" s="11"/>
    </row>
  </sheetData>
  <mergeCells count="53">
    <mergeCell ref="B7:H7"/>
    <mergeCell ref="D22:E22"/>
    <mergeCell ref="B3:H3"/>
    <mergeCell ref="E40:G40"/>
    <mergeCell ref="C40:D40"/>
    <mergeCell ref="D23:E23"/>
    <mergeCell ref="C27:D27"/>
    <mergeCell ref="B30:H30"/>
    <mergeCell ref="D34:G34"/>
    <mergeCell ref="B36:H36"/>
    <mergeCell ref="E38:G38"/>
    <mergeCell ref="E39:G39"/>
    <mergeCell ref="C38:D38"/>
    <mergeCell ref="C39:D39"/>
    <mergeCell ref="B10:H10"/>
    <mergeCell ref="B12:H12"/>
    <mergeCell ref="B20:H20"/>
    <mergeCell ref="D32:G32"/>
    <mergeCell ref="B57:H57"/>
    <mergeCell ref="C53:D53"/>
    <mergeCell ref="E53:G53"/>
    <mergeCell ref="C54:D54"/>
    <mergeCell ref="E54:G54"/>
    <mergeCell ref="B50:H50"/>
    <mergeCell ref="C52:D52"/>
    <mergeCell ref="E52:G52"/>
    <mergeCell ref="B43:H43"/>
    <mergeCell ref="C41:D41"/>
    <mergeCell ref="C47:D47"/>
    <mergeCell ref="E47:G47"/>
    <mergeCell ref="C48:D48"/>
    <mergeCell ref="E48:G48"/>
    <mergeCell ref="E41:G41"/>
    <mergeCell ref="C46:D46"/>
    <mergeCell ref="E46:G46"/>
    <mergeCell ref="C45:D45"/>
    <mergeCell ref="E45:G45"/>
    <mergeCell ref="C62:D62"/>
    <mergeCell ref="E62:G62"/>
    <mergeCell ref="D9:F9"/>
    <mergeCell ref="E18:G18"/>
    <mergeCell ref="D17:F17"/>
    <mergeCell ref="D24:E24"/>
    <mergeCell ref="D25:E25"/>
    <mergeCell ref="C59:D59"/>
    <mergeCell ref="E59:G59"/>
    <mergeCell ref="C60:D60"/>
    <mergeCell ref="E60:G60"/>
    <mergeCell ref="C61:D61"/>
    <mergeCell ref="E61:G61"/>
    <mergeCell ref="C55:D55"/>
    <mergeCell ref="E55:G55"/>
    <mergeCell ref="D33:G3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4B60E-E732-47BF-AE2D-5DB934FA37BE}">
  <sheetPr>
    <tabColor theme="0"/>
  </sheetPr>
  <dimension ref="A1:Y35"/>
  <sheetViews>
    <sheetView topLeftCell="A9" zoomScale="85" zoomScaleNormal="85" workbookViewId="0">
      <selection activeCell="U29" sqref="U29"/>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546</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9) Aménager un espace</v>
      </c>
      <c r="C2" s="886"/>
      <c r="D2" s="886"/>
      <c r="E2" s="886"/>
      <c r="F2" s="886"/>
      <c r="G2" s="886"/>
      <c r="H2" s="886"/>
      <c r="I2" s="886"/>
      <c r="J2" s="886"/>
      <c r="K2" s="886"/>
      <c r="L2" s="886"/>
      <c r="M2" s="887"/>
      <c r="N2" s="407" t="str">
        <f>INDEX(Problématiques_compétences!$B$3:$D$118,MATCH(A1,Problématiques_compétences!$D$3:$D$118,0),1)</f>
        <v>Comment penser l'aménagement d'un conteneur maritime pour en faire une habitation pour étudiant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2.1</v>
      </c>
      <c r="B4" s="872" t="str">
        <f ca="1">INDEX(Programme!$B$4:$C$46,MATCH(A4,Programme!$B$4:$B$46,0),2)</f>
        <v>► Identifier un besoin et énoncer un problème technique, identifier les conditions, contraintes (normes et règlements) et ressources correspondantes.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DIC.1.1</v>
      </c>
      <c r="L4" s="873" t="str">
        <f ca="1">IFERROR(INDEX(Programme!$I$7:$J$94,MATCH($K4,Programme!$I$7:$I$94,0),2),"")</f>
        <v>Identifier un besoin (biens matériels ou services) et énoncer un problème technique.</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 xml:space="preserve">Besoin, contraintes, normalisation. </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DIC.1.2</v>
      </c>
      <c r="L5" s="879" t="str">
        <f ca="1">IFERROR(INDEX(Programme!$I$7:$J$94,MATCH($K5,Programme!$I$7:$I$94,0),2),"")</f>
        <v>Identifier les conditions, contraintes (normes et règlements) et ressources correspondantes, qualifier et quantifier simplement les performances d’un objet technique existant ou à créer.</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xml:space="preserve">Principaux éléments d’un cahier des charges.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3.2</v>
      </c>
      <c r="B6" s="872" t="str">
        <f ca="1">IFERROR(INDEX(Programme!$B$4:$C$46,MATCH(A6,Programme!$B$4:$B$46,0),2),"")</f>
        <v>► Traduire, à l’aide d’outils de représentation numérique, des choix de solutions sous forme de croquis, de dessins ou de schémas.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DIC.1.5</v>
      </c>
      <c r="L6" s="873" t="str">
        <f ca="1">IFERROR(INDEX(Programme!$I$7:$J$94,MATCH($K6,Programme!$I$7:$I$94,0),2),"")</f>
        <v>Imaginer des solutions pour produire des objets et des éléments de programmes informatiques en réponse au besoin.</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Design. Innovation et créativité. Veille. Représentation de solutions (croquis, schémas, algorithmes). Réalité augmentée. Objets connectés.</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OTSCIS.2.2</v>
      </c>
      <c r="L7" s="879" t="str">
        <f ca="1">IFERROR(INDEX(Programme!$I$7:$J$94,MATCH($K7,Programme!$I$7:$I$94,0),2),"")</f>
        <v>Lire, utiliser et produire, à l’aide d’outils de représentation numérique, des choix de solutions sous forme de dessins ou de schémas.</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Outils numériques de description des objets techniques.</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3.3</v>
      </c>
      <c r="B8" s="872" t="str">
        <f ca="1">IFERROR(INDEX(Programme!$B$4:$C$46,MATCH(A8,Programme!$B$4:$B$46,0),2),"")</f>
        <v>► Présenter à l’oral et à l’aide de supports numériques multimédia des solutions techniques au moment des revues de projet.</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DIC.1.7</v>
      </c>
      <c r="L8" s="873" t="str">
        <f ca="1">IFERROR(INDEX(Programme!$I$7:$J$94,MATCH($K8,Programme!$I$7:$I$94,0),2),"")</f>
        <v>Présenter à l’oral et à l’aide de supports numériques multimédia des solutions techniques au moment des revues de projet.</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Outils numériques de présentation.</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6.3</v>
      </c>
      <c r="B10" s="872" t="str">
        <f ca="1">IFERROR(INDEX(Programme!$B$4:$C$46,MATCH(A10,Programme!$B$4:$B$46,0),2),"")</f>
        <v>► Analyser le cycle de vie d’un objet.</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OTSCIS.1.1</v>
      </c>
      <c r="L10" s="873" t="str">
        <f ca="1">IFERROR(INDEX(Programme!$I$7:$J$94,MATCH($K10,Programme!$I$7:$I$94,0),2),"")</f>
        <v>Regrouper des objets en familles et lignées.</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L’évolution des objets. Impacts sociétaux et environnementaux dus aux objets. Cycle de vie. Les règles d’un usage raisonné des objets communicants respectant la propriété intellectuelle et l’intégrité d’autrui.</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58" t="s">
        <v>70</v>
      </c>
      <c r="B12" s="568"/>
      <c r="C12" s="568"/>
      <c r="D12" s="568"/>
      <c r="E12" s="568"/>
      <c r="F12" s="568"/>
      <c r="G12" s="568"/>
      <c r="H12" s="568"/>
      <c r="I12" s="568"/>
      <c r="J12" s="568"/>
      <c r="K12" s="430"/>
      <c r="L12" s="460"/>
      <c r="M12" s="432"/>
      <c r="N12" s="461" t="s">
        <v>72</v>
      </c>
      <c r="O12" s="462"/>
      <c r="P12" s="462"/>
      <c r="Q12" s="462"/>
      <c r="R12" s="462"/>
      <c r="S12" s="462"/>
      <c r="T12" s="462"/>
      <c r="U12" s="462"/>
      <c r="V12" s="462"/>
      <c r="W12" s="462"/>
      <c r="X12" s="462"/>
      <c r="Y12" s="463"/>
    </row>
    <row r="13" spans="1:25" ht="30.75" customHeight="1">
      <c r="A13" s="894" t="s">
        <v>1069</v>
      </c>
      <c r="B13" s="894"/>
      <c r="C13" s="894"/>
      <c r="D13" s="894"/>
      <c r="E13" s="894"/>
      <c r="F13" s="894"/>
      <c r="G13" s="894"/>
      <c r="H13" s="894"/>
      <c r="I13" s="894"/>
      <c r="J13" s="894"/>
      <c r="K13" s="894"/>
      <c r="L13" s="894"/>
      <c r="M13" s="894"/>
      <c r="N13" s="1018" t="s">
        <v>1070</v>
      </c>
      <c r="O13" s="1018"/>
      <c r="P13" s="1018"/>
      <c r="Q13" s="1018"/>
      <c r="R13" s="1018"/>
      <c r="S13" s="1018"/>
      <c r="T13" s="1018"/>
      <c r="U13" s="1018"/>
      <c r="V13" s="1018"/>
      <c r="W13" s="1018"/>
      <c r="X13" s="1018"/>
      <c r="Y13" s="1018"/>
    </row>
    <row r="14" spans="1:25" ht="30.75" customHeight="1">
      <c r="A14" s="894"/>
      <c r="B14" s="894"/>
      <c r="C14" s="894"/>
      <c r="D14" s="894"/>
      <c r="E14" s="894"/>
      <c r="F14" s="894"/>
      <c r="G14" s="894"/>
      <c r="H14" s="894"/>
      <c r="I14" s="894"/>
      <c r="J14" s="894"/>
      <c r="K14" s="894"/>
      <c r="L14" s="894"/>
      <c r="M14" s="894"/>
      <c r="N14" s="1018"/>
      <c r="O14" s="1018"/>
      <c r="P14" s="1018"/>
      <c r="Q14" s="1018"/>
      <c r="R14" s="1018"/>
      <c r="S14" s="1018"/>
      <c r="T14" s="1018"/>
      <c r="U14" s="1018"/>
      <c r="V14" s="1018"/>
      <c r="W14" s="1018"/>
      <c r="X14" s="1018"/>
      <c r="Y14" s="1018"/>
    </row>
    <row r="15" spans="1:25" ht="16.5" customHeight="1">
      <c r="A15" s="464" t="s">
        <v>376</v>
      </c>
      <c r="B15" s="1019"/>
      <c r="C15" s="1020"/>
      <c r="D15" s="1020"/>
      <c r="E15" s="1020"/>
      <c r="F15" s="1020"/>
      <c r="G15" s="1020"/>
      <c r="H15" s="1020"/>
      <c r="I15" s="1020"/>
      <c r="J15" s="1020"/>
      <c r="K15" s="1021"/>
      <c r="L15" s="1022"/>
      <c r="M15" s="1023"/>
      <c r="N15" s="1024" t="s">
        <v>377</v>
      </c>
      <c r="O15" s="1025"/>
      <c r="P15" s="1025"/>
      <c r="Q15" s="1025"/>
      <c r="R15" s="1025"/>
      <c r="S15" s="1025"/>
      <c r="T15" s="1025"/>
      <c r="U15" s="1025"/>
      <c r="V15" s="1025"/>
      <c r="W15" s="1025"/>
      <c r="X15" s="1025"/>
      <c r="Y15" s="470"/>
    </row>
    <row r="16" spans="1:25" ht="30" customHeight="1" thickBot="1">
      <c r="A16" s="1026" t="s">
        <v>1071</v>
      </c>
      <c r="B16" s="1026"/>
      <c r="C16" s="1026"/>
      <c r="D16" s="1026"/>
      <c r="E16" s="1026"/>
      <c r="F16" s="1026"/>
      <c r="G16" s="1026"/>
      <c r="H16" s="1026"/>
      <c r="I16" s="1026"/>
      <c r="J16" s="1026"/>
      <c r="K16" s="1026"/>
      <c r="L16" s="1026"/>
      <c r="M16" s="1026"/>
      <c r="N16" s="1027" t="s">
        <v>1072</v>
      </c>
      <c r="O16" s="1027"/>
      <c r="P16" s="1027"/>
      <c r="Q16" s="1027"/>
      <c r="R16" s="1027"/>
      <c r="S16" s="1027"/>
      <c r="T16" s="1027"/>
      <c r="U16" s="1027"/>
      <c r="V16" s="1027"/>
      <c r="W16" s="1027"/>
      <c r="X16" s="1027"/>
      <c r="Y16" s="1027"/>
    </row>
    <row r="17" spans="1:25" ht="30" customHeight="1" thickBot="1">
      <c r="A17" s="1026"/>
      <c r="B17" s="1026"/>
      <c r="C17" s="1026"/>
      <c r="D17" s="1026"/>
      <c r="E17" s="1026"/>
      <c r="F17" s="1026"/>
      <c r="G17" s="1026"/>
      <c r="H17" s="1026"/>
      <c r="I17" s="1026"/>
      <c r="J17" s="1026"/>
      <c r="K17" s="1026"/>
      <c r="L17" s="1026"/>
      <c r="M17" s="1026"/>
      <c r="N17" s="1027"/>
      <c r="O17" s="1027"/>
      <c r="P17" s="1027"/>
      <c r="Q17" s="1027"/>
      <c r="R17" s="1027"/>
      <c r="S17" s="1027"/>
      <c r="T17" s="1027"/>
      <c r="U17" s="1027"/>
      <c r="V17" s="1027"/>
      <c r="W17" s="1027"/>
      <c r="X17" s="1027"/>
      <c r="Y17" s="1027"/>
    </row>
    <row r="18" spans="1:25" ht="16.5" customHeight="1" thickBot="1">
      <c r="A18" s="610" t="s">
        <v>73</v>
      </c>
      <c r="B18" s="462"/>
      <c r="C18" s="462"/>
      <c r="D18" s="462"/>
      <c r="E18" s="462"/>
      <c r="F18" s="1028" t="s">
        <v>1073</v>
      </c>
      <c r="G18" s="1028"/>
      <c r="H18" s="1028"/>
      <c r="I18" s="1028"/>
      <c r="J18" s="1028"/>
      <c r="K18" s="1028"/>
      <c r="L18" s="1028"/>
      <c r="M18" s="1028"/>
      <c r="N18" s="896" t="s">
        <v>382</v>
      </c>
      <c r="O18" s="896"/>
      <c r="P18" s="896"/>
      <c r="Q18" s="896"/>
      <c r="R18" s="897" t="s">
        <v>1074</v>
      </c>
      <c r="S18" s="897"/>
      <c r="T18" s="897"/>
      <c r="U18" s="897"/>
      <c r="V18" s="898" t="s">
        <v>1075</v>
      </c>
      <c r="W18" s="898"/>
      <c r="X18" s="898"/>
      <c r="Y18" s="898"/>
    </row>
    <row r="19" spans="1:25" ht="15.75" thickBot="1">
      <c r="A19" s="473" t="s">
        <v>465</v>
      </c>
      <c r="B19" s="474"/>
      <c r="C19" s="474"/>
      <c r="D19" s="474"/>
      <c r="E19" s="474"/>
      <c r="F19" s="474"/>
      <c r="G19" s="474"/>
      <c r="H19" s="448"/>
      <c r="I19" s="448"/>
      <c r="J19" s="448"/>
      <c r="K19" s="475"/>
      <c r="L19" s="475"/>
      <c r="M19" s="476"/>
      <c r="N19" s="896"/>
      <c r="O19" s="896"/>
      <c r="P19" s="896"/>
      <c r="Q19" s="896"/>
      <c r="R19" s="899"/>
      <c r="S19" s="899"/>
      <c r="T19" s="899"/>
      <c r="U19" s="899"/>
      <c r="V19" s="994"/>
      <c r="W19" s="994"/>
      <c r="X19" s="994"/>
      <c r="Y19" s="994"/>
    </row>
    <row r="20" spans="1:25">
      <c r="A20" s="477"/>
      <c r="B20" s="469"/>
      <c r="C20" s="469"/>
      <c r="D20" s="469"/>
      <c r="E20" s="469"/>
      <c r="F20" s="469"/>
      <c r="G20" s="469"/>
      <c r="H20" s="439"/>
      <c r="I20" s="439"/>
      <c r="J20" s="439"/>
      <c r="K20" s="478"/>
      <c r="L20" s="478"/>
      <c r="M20" s="478"/>
      <c r="N20" s="478"/>
      <c r="O20" s="553"/>
      <c r="P20" s="553"/>
      <c r="Q20" s="553"/>
      <c r="R20" s="553"/>
      <c r="S20" s="553"/>
      <c r="T20" s="553"/>
      <c r="U20" s="553"/>
      <c r="V20" s="553"/>
      <c r="W20" s="553"/>
      <c r="X20" s="553"/>
      <c r="Y20" s="553"/>
    </row>
    <row r="21" spans="1:25" ht="15.75">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02" t="s">
        <v>75</v>
      </c>
      <c r="D22" s="902"/>
      <c r="E22" s="902"/>
      <c r="F22" s="902"/>
      <c r="G22" s="902"/>
      <c r="H22" s="902"/>
      <c r="I22" s="902"/>
      <c r="J22" s="902"/>
      <c r="K22" s="902"/>
      <c r="L22" s="903" t="s">
        <v>76</v>
      </c>
      <c r="M22" s="903"/>
      <c r="N22" s="903"/>
      <c r="O22" s="903"/>
      <c r="P22" s="903"/>
      <c r="Q22" s="903"/>
      <c r="R22" s="903"/>
      <c r="S22" s="902" t="s">
        <v>77</v>
      </c>
      <c r="T22" s="902"/>
      <c r="U22" s="902"/>
      <c r="V22" s="902"/>
      <c r="W22" s="902"/>
      <c r="X22" s="902"/>
      <c r="Y22" s="902"/>
    </row>
    <row r="23" spans="1:25" ht="33.75" customHeight="1">
      <c r="A23" s="904" t="s">
        <v>78</v>
      </c>
      <c r="B23" s="904"/>
      <c r="C23" s="905" t="s">
        <v>1076</v>
      </c>
      <c r="D23" s="905"/>
      <c r="E23" s="905"/>
      <c r="F23" s="905"/>
      <c r="G23" s="905"/>
      <c r="H23" s="905"/>
      <c r="I23" s="905"/>
      <c r="J23" s="905"/>
      <c r="K23" s="905"/>
      <c r="L23" s="906" t="s">
        <v>1077</v>
      </c>
      <c r="M23" s="906"/>
      <c r="N23" s="906"/>
      <c r="O23" s="906"/>
      <c r="P23" s="906"/>
      <c r="Q23" s="906"/>
      <c r="R23" s="906"/>
      <c r="S23" s="905" t="s">
        <v>1078</v>
      </c>
      <c r="T23" s="905"/>
      <c r="U23" s="905"/>
      <c r="V23" s="905"/>
      <c r="W23" s="905"/>
      <c r="X23" s="905"/>
      <c r="Y23" s="905"/>
    </row>
    <row r="24" spans="1:25" ht="84.75" customHeight="1">
      <c r="A24" s="907" t="s">
        <v>79</v>
      </c>
      <c r="B24" s="907"/>
      <c r="C24" s="1029" t="s">
        <v>1079</v>
      </c>
      <c r="D24" s="1029"/>
      <c r="E24" s="1029"/>
      <c r="F24" s="1029"/>
      <c r="G24" s="1029"/>
      <c r="H24" s="1029"/>
      <c r="I24" s="1029"/>
      <c r="J24" s="1029"/>
      <c r="K24" s="1029"/>
      <c r="L24" s="1030" t="s">
        <v>1080</v>
      </c>
      <c r="M24" s="1030"/>
      <c r="N24" s="1030"/>
      <c r="O24" s="1030"/>
      <c r="P24" s="1030"/>
      <c r="Q24" s="1030"/>
      <c r="R24" s="1030"/>
      <c r="S24" s="1031" t="s">
        <v>1081</v>
      </c>
      <c r="T24" s="1031"/>
      <c r="U24" s="1031"/>
      <c r="V24" s="1031"/>
      <c r="W24" s="1031"/>
      <c r="X24" s="1031"/>
      <c r="Y24" s="1031"/>
    </row>
    <row r="25" spans="1:25" ht="75" customHeight="1">
      <c r="A25" s="908" t="s">
        <v>81</v>
      </c>
      <c r="B25" s="908"/>
      <c r="C25" s="1029" t="s">
        <v>1082</v>
      </c>
      <c r="D25" s="1029"/>
      <c r="E25" s="1029"/>
      <c r="F25" s="1029"/>
      <c r="G25" s="1029"/>
      <c r="H25" s="1029"/>
      <c r="I25" s="1029"/>
      <c r="J25" s="1029"/>
      <c r="K25" s="1029"/>
      <c r="L25" s="905" t="s">
        <v>1083</v>
      </c>
      <c r="M25" s="905"/>
      <c r="N25" s="905"/>
      <c r="O25" s="905"/>
      <c r="P25" s="905"/>
      <c r="Q25" s="905"/>
      <c r="R25" s="905"/>
      <c r="S25" s="905" t="s">
        <v>1084</v>
      </c>
      <c r="T25" s="905"/>
      <c r="U25" s="905"/>
      <c r="V25" s="905"/>
      <c r="W25" s="905"/>
      <c r="X25" s="905"/>
      <c r="Y25" s="905"/>
    </row>
    <row r="26" spans="1:25" ht="72" customHeight="1">
      <c r="A26" s="908" t="s">
        <v>80</v>
      </c>
      <c r="B26" s="908"/>
      <c r="C26" s="1030" t="s">
        <v>1085</v>
      </c>
      <c r="D26" s="1030"/>
      <c r="E26" s="1030"/>
      <c r="F26" s="1030"/>
      <c r="G26" s="1030"/>
      <c r="H26" s="1030"/>
      <c r="I26" s="1030"/>
      <c r="J26" s="1030"/>
      <c r="K26" s="1030"/>
      <c r="L26" s="905" t="s">
        <v>1086</v>
      </c>
      <c r="M26" s="905"/>
      <c r="N26" s="905"/>
      <c r="O26" s="905"/>
      <c r="P26" s="905"/>
      <c r="Q26" s="905"/>
      <c r="R26" s="905"/>
      <c r="S26" s="905" t="s">
        <v>1087</v>
      </c>
      <c r="T26" s="905"/>
      <c r="U26" s="905"/>
      <c r="V26" s="905"/>
      <c r="W26" s="905"/>
      <c r="X26" s="905"/>
      <c r="Y26" s="905"/>
    </row>
    <row r="27" spans="1:25" ht="70.5" customHeight="1">
      <c r="A27" s="907" t="s">
        <v>542</v>
      </c>
      <c r="B27" s="907"/>
      <c r="C27" s="1031" t="s">
        <v>1088</v>
      </c>
      <c r="D27" s="1031"/>
      <c r="E27" s="1031"/>
      <c r="F27" s="1031"/>
      <c r="G27" s="1031"/>
      <c r="H27" s="1031"/>
      <c r="I27" s="1031"/>
      <c r="J27" s="1031"/>
      <c r="K27" s="1031"/>
      <c r="L27" s="1030" t="s">
        <v>1089</v>
      </c>
      <c r="M27" s="1030"/>
      <c r="N27" s="1030"/>
      <c r="O27" s="1030"/>
      <c r="P27" s="1030"/>
      <c r="Q27" s="1030"/>
      <c r="R27" s="1030"/>
      <c r="S27" s="1031" t="s">
        <v>1090</v>
      </c>
      <c r="T27" s="1031"/>
      <c r="U27" s="1031"/>
      <c r="V27" s="1031"/>
      <c r="W27" s="1031"/>
      <c r="X27" s="1031"/>
      <c r="Y27" s="1031"/>
    </row>
    <row r="30" spans="1:25">
      <c r="D30" s="394"/>
    </row>
    <row r="32" spans="1:25">
      <c r="I32" s="396"/>
      <c r="J32" s="396"/>
      <c r="K32" s="396"/>
    </row>
    <row r="33" spans="9:11" ht="15.75">
      <c r="I33" s="397"/>
      <c r="J33" s="398"/>
      <c r="K33" s="395"/>
    </row>
    <row r="34" spans="9:11">
      <c r="I34" s="396"/>
      <c r="J34" s="395"/>
    </row>
    <row r="35" spans="9:11">
      <c r="I35" s="396"/>
    </row>
  </sheetData>
  <mergeCells count="57">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F18:M18"/>
    <mergeCell ref="N18:Q19"/>
    <mergeCell ref="R18:U18"/>
    <mergeCell ref="V18:Y18"/>
    <mergeCell ref="R19:U19"/>
    <mergeCell ref="V19:Y19"/>
    <mergeCell ref="L9:Q9"/>
    <mergeCell ref="R9:Y9"/>
    <mergeCell ref="B10:J10"/>
    <mergeCell ref="L10:Q10"/>
    <mergeCell ref="R10:Y10"/>
    <mergeCell ref="B11:J11"/>
    <mergeCell ref="L11:Q11"/>
    <mergeCell ref="R11:Y11"/>
    <mergeCell ref="B6:J6"/>
    <mergeCell ref="L6:Q6"/>
    <mergeCell ref="R6:Y6"/>
    <mergeCell ref="L7:Q7"/>
    <mergeCell ref="R7:Y7"/>
    <mergeCell ref="B8:J8"/>
    <mergeCell ref="L8:Q8"/>
    <mergeCell ref="R8:Y8"/>
    <mergeCell ref="A1:A2"/>
    <mergeCell ref="B2:M2"/>
    <mergeCell ref="B4:J4"/>
    <mergeCell ref="L4:Q4"/>
    <mergeCell ref="R4:Y4"/>
    <mergeCell ref="L5:Q5"/>
    <mergeCell ref="R5:Y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1FAC9-6938-4C54-96AB-8E68F48EC220}">
  <dimension ref="A1:Y27"/>
  <sheetViews>
    <sheetView workbookViewId="0">
      <selection activeCell="G9" sqref="G9"/>
    </sheetView>
  </sheetViews>
  <sheetFormatPr baseColWidth="10" defaultColWidth="9.140625" defaultRowHeight="15"/>
  <cols>
    <col min="1" max="1" width="7.28515625" style="393" customWidth="1"/>
    <col min="2" max="10" width="6.5703125" style="393" customWidth="1"/>
    <col min="11" max="11" width="9.42578125" style="393" customWidth="1"/>
    <col min="12" max="17" width="8.28515625" style="393" customWidth="1"/>
    <col min="18" max="18" width="20.28515625" style="393" customWidth="1"/>
    <col min="19" max="24" width="8.5703125" style="393" customWidth="1"/>
    <col min="25" max="25" width="21.85546875" style="393" customWidth="1"/>
    <col min="26" max="31" width="4.7109375" style="393" customWidth="1"/>
    <col min="32" max="16384" width="9.140625" style="393"/>
  </cols>
  <sheetData>
    <row r="1" spans="1:25" ht="15.75" thickBot="1">
      <c r="A1" s="937" t="s">
        <v>548</v>
      </c>
      <c r="B1" s="481" t="s">
        <v>42</v>
      </c>
      <c r="C1" s="482"/>
      <c r="D1" s="482"/>
      <c r="E1" s="482"/>
      <c r="F1" s="482"/>
      <c r="G1" s="482"/>
      <c r="H1" s="482"/>
      <c r="I1" s="482"/>
      <c r="J1" s="482"/>
      <c r="K1" s="482"/>
      <c r="L1" s="482"/>
      <c r="M1" s="483"/>
      <c r="N1" s="484" t="s">
        <v>375</v>
      </c>
      <c r="O1" s="485"/>
      <c r="P1" s="485"/>
      <c r="Q1" s="485"/>
      <c r="R1" s="485"/>
      <c r="S1" s="485"/>
      <c r="T1" s="485"/>
      <c r="U1" s="485"/>
      <c r="V1" s="485"/>
      <c r="W1" s="485"/>
      <c r="X1" s="485"/>
      <c r="Y1" s="486"/>
    </row>
    <row r="2" spans="1:25" ht="15.75" thickBot="1">
      <c r="A2" s="937"/>
      <c r="B2" s="938" t="str">
        <f>INDEX([2]Problématiques_compétences!$A$3:$D$118,QUOTIENT(MATCH(A1,[2]Problématiques_compétences!$D$3:$D$118,0),8)*8+2,1)</f>
        <v>5) Découvrir son environnement</v>
      </c>
      <c r="C2" s="938"/>
      <c r="D2" s="938"/>
      <c r="E2" s="938"/>
      <c r="F2" s="938"/>
      <c r="G2" s="938"/>
      <c r="H2" s="938"/>
      <c r="I2" s="938"/>
      <c r="J2" s="938"/>
      <c r="K2" s="938"/>
      <c r="L2" s="938"/>
      <c r="M2" s="938"/>
      <c r="N2" s="487" t="str">
        <f>INDEX([2]Problématiques_compétences!$B$3:$D$118,MATCH(A1,[2]Problématiques_compétences!$D$3:$D$118,0),1)</f>
        <v>Comment rendre une vue aérienne interactive ?</v>
      </c>
      <c r="O2" s="488"/>
      <c r="P2" s="488"/>
      <c r="Q2" s="488"/>
      <c r="R2" s="488"/>
      <c r="S2" s="488"/>
      <c r="T2" s="488"/>
      <c r="U2" s="488"/>
      <c r="V2" s="488"/>
      <c r="W2" s="488"/>
      <c r="X2" s="488"/>
      <c r="Y2" s="489"/>
    </row>
    <row r="3" spans="1:25">
      <c r="A3" s="481" t="s">
        <v>55</v>
      </c>
      <c r="B3" s="490"/>
      <c r="C3" s="490"/>
      <c r="D3" s="490"/>
      <c r="E3" s="491"/>
      <c r="F3" s="490"/>
      <c r="G3" s="490"/>
      <c r="H3" s="491"/>
      <c r="I3" s="490"/>
      <c r="J3" s="490"/>
      <c r="K3" s="492" t="s">
        <v>71</v>
      </c>
      <c r="L3" s="493"/>
      <c r="M3" s="493"/>
      <c r="N3" s="493"/>
      <c r="O3" s="490"/>
      <c r="P3" s="490"/>
      <c r="Q3" s="490"/>
      <c r="R3" s="494" t="s">
        <v>344</v>
      </c>
      <c r="S3" s="490"/>
      <c r="T3" s="490"/>
      <c r="U3" s="490"/>
      <c r="V3" s="490"/>
      <c r="W3" s="490"/>
      <c r="X3" s="490"/>
      <c r="Y3" s="495"/>
    </row>
    <row r="4" spans="1:25" ht="23.25" customHeight="1">
      <c r="A4" s="496" t="str">
        <f t="array" aca="1" ref="A4" ca="1">IFERROR(INDEX([2]Problématiques_compétences!$F$2:$AK$2,SMALL(IF(INDIRECT("Problématiques_compétences!F"&amp;MATCH($A$1,[2]Problématiques_compétences!$D$1:$D$118,0)):INDIRECT("Problématiques_compétences!AK"&amp;MATCH($A$1,[2]Problématiques_compétences!$D$1:$D$118,0))="x",COLUMN([2]Problématiques_compétences!$F$1:$AK$1)-5,""),ROW()-3)),"")</f>
        <v>CT 2.5</v>
      </c>
      <c r="B4" s="932" t="str">
        <f ca="1">INDEX([2]Programme!$B$4:$C$46,MATCH(A4,[2]Programme!$B$4:$B$46,0),2)</f>
        <v>► Imaginer des solutions en réponse au besoin.</v>
      </c>
      <c r="C4" s="932"/>
      <c r="D4" s="932"/>
      <c r="E4" s="932"/>
      <c r="F4" s="932"/>
      <c r="G4" s="932"/>
      <c r="H4" s="932"/>
      <c r="I4" s="932"/>
      <c r="J4" s="932"/>
      <c r="K4" s="497" t="str">
        <f t="array" aca="1" ref="K4" ca="1">INDEX([2]Programme!$B$3:$G$46,MATCH($A$4,[2]Programme!$B$3:$B$46,0),SMALL(IF(INDIRECT("Programme!D"&amp;MATCH($A$4,[2]Programme!$B$1:$B$46,0)):INDIRECT("Programme!G"&amp;MATCH($A$4,[2]Programme!$B$1:$B$46,0))&lt;&gt;"",COLUMN([2]Programme!$D$3:$G$3)-1),ROW()-3))</f>
        <v>DIC.1.5</v>
      </c>
      <c r="L4" s="933" t="str">
        <f ca="1">IFERROR(INDEX([2]Programme!$I$7:$J$94,MATCH($K4,[2]Programme!$I$7:$I$94,0),2),"")</f>
        <v>Imaginer des solutions pour produire des objets et des éléments de programmes informatiques en réponse au besoin.</v>
      </c>
      <c r="M4" s="933"/>
      <c r="N4" s="933"/>
      <c r="O4" s="933"/>
      <c r="P4" s="933"/>
      <c r="Q4" s="933"/>
      <c r="R4" s="934" t="str">
        <f ca="1">IFERROR(INDEX([2]Programme!$K$7:$L$94,MATCH($K4&amp;".1",[2]Programme!$K$7:$K$94,0),2),"")&amp;IFERROR(INDEX([2]Programme!$K$7:$L$94,MATCH($K4&amp;".2",[2]Programme!$K$7:$K$94,0),2),"")&amp;IFERROR(INDEX([2]Programme!$K$7:$L$94,MATCH($K4&amp;".3",[2]Programme!$K$7:$K$94,0),2),"")&amp;IFERROR(INDEX([2]Programme!$K$7:$L$94,MATCH($K4&amp;".4",[2]Programme!$K$7:$K$94,0),2),"")&amp;IFERROR(INDEX([2]Programme!$K$7:$L$94,MATCH($K4&amp;".5",[2]Programme!$K$7:$K$94,0),2),"")&amp;IFERROR(INDEX([2]Programme!$K$7:$L$94,MATCH($K4&amp;".6",[2]Programme!$K$7:$K$94,0),2),"")</f>
        <v>Design. Innovation et créativité. Veille. Représentation de solutions (croquis, schémas, algorithmes). Réalité augmentée. Objets connectés.</v>
      </c>
      <c r="S4" s="934"/>
      <c r="T4" s="934"/>
      <c r="U4" s="934"/>
      <c r="V4" s="934"/>
      <c r="W4" s="934"/>
      <c r="X4" s="934"/>
      <c r="Y4" s="934"/>
    </row>
    <row r="5" spans="1:25" ht="30.75" customHeight="1">
      <c r="A5" s="498"/>
      <c r="B5" s="499"/>
      <c r="C5" s="499"/>
      <c r="D5" s="499"/>
      <c r="E5" s="500"/>
      <c r="F5" s="500"/>
      <c r="G5" s="500"/>
      <c r="H5" s="500"/>
      <c r="I5" s="500"/>
      <c r="J5" s="500"/>
      <c r="K5" s="501" t="str">
        <f t="array" aca="1" ref="K5" ca="1">IFERROR(INDEX([2]Programme!$B$3:$G$46,MATCH($A$4,[2]Programme!$B$3:$B$46,0),SMALL(IF(INDIRECT("Programme!D"&amp;MATCH($A$4,[2]Programme!$B$1:$B$46,0)):INDIRECT("Programme!G"&amp;MATCH($A$4,[2]Programme!$B$1:$B$46,0))&lt;&gt;"",COLUMN([2]Programme!$D$3:$G$3)-1),ROW()-3)),"")</f>
        <v/>
      </c>
      <c r="L5" s="935" t="str">
        <f ca="1">IFERROR(INDEX([2]Programme!$I$7:$J$94,MATCH($K5,[2]Programme!$I$7:$I$94,0),2),"")</f>
        <v/>
      </c>
      <c r="M5" s="935"/>
      <c r="N5" s="935"/>
      <c r="O5" s="935"/>
      <c r="P5" s="935"/>
      <c r="Q5" s="935"/>
      <c r="R5" s="936" t="str">
        <f ca="1">IFERROR(INDEX([2]Programme!$K$7:$L$94,MATCH($K5&amp;".1",[2]Programme!$K$7:$K$94,0),2),"")&amp;IFERROR(INDEX([2]Programme!$K$7:$L$94,MATCH($K5&amp;".2",[2]Programme!$K$7:$K$94,0),2),"")&amp;IFERROR(INDEX([2]Programme!$K$7:$L$94,MATCH($K5&amp;".3",[2]Programme!$K$7:$K$94,0),2),"")&amp;IFERROR(INDEX([2]Programme!$K$7:$L$94,MATCH($K5&amp;".4",[2]Programme!$K$7:$K$94,0),2),"")&amp;IFERROR(INDEX([2]Programme!$K$7:$L$94,MATCH($K5&amp;".5",[2]Programme!$K$7:$K$94,0),2),"")&amp;IFERROR(INDEX([2]Programme!$K$7:$L$94,MATCH($K5&amp;".6",[2]Programme!$K$7:$K$94,0),2),"")</f>
        <v/>
      </c>
      <c r="S5" s="936"/>
      <c r="T5" s="936"/>
      <c r="U5" s="936"/>
      <c r="V5" s="936"/>
      <c r="W5" s="936"/>
      <c r="X5" s="936"/>
      <c r="Y5" s="936"/>
    </row>
    <row r="6" spans="1:25" ht="25.5" customHeight="1">
      <c r="A6" s="496" t="str">
        <f t="array" aca="1" ref="A6" ca="1">IFERROR(INDEX([2]Problématiques_compétences!$F$2:$AK$2,SMALL(IF(INDIRECT("Problématiques_compétences!F"&amp;MATCH($A$1,[2]Problématiques_compétences!$D$1:$D$118,0)):INDIRECT("Problématiques_compétences!AK"&amp;MATCH($A$1,[2]Problématiques_compétences!$D$1:$D$118,0))="x",COLUMN([2]Problématiques_compétences!$F$1:$AK$1)-5,""),ROW()-4)),"")</f>
        <v>CT 2.6</v>
      </c>
      <c r="B6" s="932" t="str">
        <f ca="1">IFERROR(INDEX([2]Programme!$B$4:$C$46,MATCH(A6,[2]Programme!$B$4:$B$46,0),2),"")</f>
        <v>► Réaliser, de manière collaborative, le prototype de tout ou partie d’un objet pour valider une solution.</v>
      </c>
      <c r="C6" s="932"/>
      <c r="D6" s="932"/>
      <c r="E6" s="932"/>
      <c r="F6" s="932"/>
      <c r="G6" s="932"/>
      <c r="H6" s="932"/>
      <c r="I6" s="932"/>
      <c r="J6" s="932"/>
      <c r="K6" s="497" t="str">
        <f t="array" aca="1" ref="K6" ca="1">IFERROR(INDEX([2]Programme!$B$3:$G$46,MATCH($A$6,[2]Programme!$B$3:$B$46,0),SMALL(IF(INDIRECT("Programme!D"&amp;MATCH($A$6,[2]Programme!$B$1:$B$46,0)):INDIRECT("Programme!G"&amp;MATCH($A$6,[2]Programme!$B$1:$B$46,0))&lt;&gt;"",COLUMN([2]Programme!$D$3:$G$3)-1),ROW()-5)),"")</f>
        <v>DIC.2.1</v>
      </c>
      <c r="L6" s="933" t="str">
        <f ca="1">IFERROR(INDEX([2]Programme!$I$7:$J$94,MATCH($K6,[2]Programme!$I$7:$I$94,0),2),"")</f>
        <v>Réaliser, de manière collaborative, le prototype d’un objet pour valider une solution.</v>
      </c>
      <c r="M6" s="933"/>
      <c r="N6" s="933"/>
      <c r="O6" s="933"/>
      <c r="P6" s="933"/>
      <c r="Q6" s="933"/>
      <c r="R6" s="934" t="str">
        <f ca="1">IFERROR(INDEX([2]Programme!$K$7:$L$94,MATCH($K6&amp;".1",[2]Programme!$K$7:$K$94,0),2),"")&amp;IFERROR(INDEX([2]Programme!$K$7:$L$94,MATCH($K6&amp;".2",[2]Programme!$K$7:$K$94,0),2),"")&amp;IFERROR(INDEX([2]Programme!$K$7:$L$94,MATCH($K6&amp;".3",[2]Programme!$K$7:$K$94,0),2),"")&amp;IFERROR(INDEX([2]Programme!$K$7:$L$94,MATCH($K6&amp;".4",[2]Programme!$K$7:$K$94,0),2),"")&amp;IFERROR(INDEX([2]Programme!$K$7:$L$94,MATCH($K6&amp;".5",[2]Programme!$K$7:$K$94,0),2),"")&amp;IFERROR(INDEX([2]Programme!$K$7:$L$94,MATCH($K6&amp;".6",[2]Programme!$K$7:$K$94,0),2),"")</f>
        <v>Prototypage rapide de structures et de circuits de commande à partir de cartes standard.</v>
      </c>
      <c r="S6" s="934"/>
      <c r="T6" s="934"/>
      <c r="U6" s="934"/>
      <c r="V6" s="934"/>
      <c r="W6" s="934"/>
      <c r="X6" s="934"/>
      <c r="Y6" s="934"/>
    </row>
    <row r="7" spans="1:25" ht="45" customHeight="1">
      <c r="A7" s="502"/>
      <c r="B7" s="503"/>
      <c r="C7" s="503"/>
      <c r="D7" s="503"/>
      <c r="E7" s="503"/>
      <c r="F7" s="503"/>
      <c r="G7" s="503"/>
      <c r="H7" s="503"/>
      <c r="I7" s="503"/>
      <c r="J7" s="503"/>
      <c r="K7" s="501" t="str">
        <f t="array" aca="1" ref="K7" ca="1">IFERROR(INDEX([2]Programme!$B$3:$G$46,MATCH($A$6,[2]Programme!$B$3:$B$46,0),SMALL(IF(INDIRECT("Programme!D"&amp;MATCH($A$6,[2]Programme!$B$1:$B$46,0)):INDIRECT("Programme!G"&amp;MATCH($A$6,[2]Programme!$B$1:$B$46,0))&lt;&gt;"",COLUMN([2]Programme!$D$3:$G$3)-1),ROW()-5)),"")</f>
        <v>MSOST.1.1</v>
      </c>
      <c r="L7" s="935" t="str">
        <f ca="1">IFERROR(INDEX([2]Programme!$I$7:$J$94,MATCH($K7,[2]Programme!$I$7:$I$94,0),2),"")</f>
        <v>Respecter une procédure de travail garantissant un résultat en respectant les règles de sécurité et d’utilisation des outils mis à disposition.</v>
      </c>
      <c r="M7" s="935"/>
      <c r="N7" s="935"/>
      <c r="O7" s="935"/>
      <c r="P7" s="935"/>
      <c r="Q7" s="935"/>
      <c r="R7" s="936" t="str">
        <f ca="1">IFERROR(INDEX([2]Programme!$K$7:$L$94,MATCH($K7&amp;".1",[2]Programme!$K$7:$K$94,0),2),"")&amp;IFERROR(INDEX([2]Programme!$K$7:$L$94,MATCH($K7&amp;".2",[2]Programme!$K$7:$K$94,0),2),"")&amp;IFERROR(INDEX([2]Programme!$K$7:$L$94,MATCH($K7&amp;".3",[2]Programme!$K$7:$K$94,0),2),"")&amp;IFERROR(INDEX([2]Programme!$K$7:$L$94,MATCH($K7&amp;".4",[2]Programme!$K$7:$K$94,0),2),"")&amp;IFERROR(INDEX([2]Programme!$K$7:$L$94,MATCH($K7&amp;".5",[2]Programme!$K$7:$K$94,0),2),"")&amp;IFERROR(INDEX([2]Programme!$K$7:$L$94,MATCH($K7&amp;".6",[2]Programme!$K$7:$K$94,0),2),"")</f>
        <v>Procédures, protocoles. Ergonomie.</v>
      </c>
      <c r="S7" s="936"/>
      <c r="T7" s="936"/>
      <c r="U7" s="936"/>
      <c r="V7" s="936"/>
      <c r="W7" s="936"/>
      <c r="X7" s="936"/>
      <c r="Y7" s="936"/>
    </row>
    <row r="8" spans="1:25" ht="30.75" customHeight="1">
      <c r="A8" s="496" t="str">
        <f t="array" aca="1" ref="A8" ca="1">IFERROR(INDEX([2]Problématiques_compétences!$F$2:$AK$2,SMALL(IF(INDIRECT("Problématiques_compétences!F"&amp;MATCH($A$1,[2]Problématiques_compétences!$D$1:$D$118,0)):INDIRECT("Problématiques_compétences!AK"&amp;MATCH($A$1,[2]Problématiques_compétences!$D$1:$D$118,0))="x",COLUMN([2]Problématiques_compétences!$F$1:$AK$1)-5,""),ROW()-5)),"")</f>
        <v>CT 2.7</v>
      </c>
      <c r="B8" s="932" t="str">
        <f ca="1">IFERROR(INDEX([2]Programme!$B$4:$C$46,MATCH(A8,[2]Programme!$B$4:$B$46,0),2),"")</f>
        <v>► Imaginer, concevoir et programmer des applications informatiques nomades.</v>
      </c>
      <c r="C8" s="932"/>
      <c r="D8" s="932"/>
      <c r="E8" s="932"/>
      <c r="F8" s="932"/>
      <c r="G8" s="932"/>
      <c r="H8" s="932"/>
      <c r="I8" s="932"/>
      <c r="J8" s="932"/>
      <c r="K8" s="497" t="str">
        <f t="array" aca="1" ref="K8" ca="1">IFERROR(INDEX([2]Programme!$B$3:$G$46,MATCH($A$8,[2]Programme!$B$3:$B$46,0),SMALL(IF(INDIRECT("Programme!D"&amp;MATCH($A$8,[2]Programme!$B$1:$B$46,0)):INDIRECT("Programme!G"&amp;MATCH($A$8,[2]Programme!$B$1:$B$46,0))&lt;&gt;"",COLUMN([2]Programme!$D$3:$G$3)-1),ROW()-7)),"")</f>
        <v>DIC.1.5</v>
      </c>
      <c r="L8" s="933" t="str">
        <f ca="1">IFERROR(INDEX([2]Programme!$I$7:$J$94,MATCH($K8,[2]Programme!$I$7:$I$94,0),2),"")</f>
        <v>Imaginer des solutions pour produire des objets et des éléments de programmes informatiques en réponse au besoin.</v>
      </c>
      <c r="M8" s="933"/>
      <c r="N8" s="933"/>
      <c r="O8" s="933"/>
      <c r="P8" s="933"/>
      <c r="Q8" s="933"/>
      <c r="R8" s="934" t="str">
        <f ca="1">IFERROR(INDEX([2]Programme!$K$7:$L$94,MATCH($K8&amp;".1",[2]Programme!$K$7:$K$94,0),2),"")&amp;IFERROR(INDEX([2]Programme!$K$7:$L$94,MATCH($K8&amp;".2",[2]Programme!$K$7:$K$94,0),2),"")&amp;IFERROR(INDEX([2]Programme!$K$7:$L$94,MATCH($K8&amp;".3",[2]Programme!$K$7:$K$94,0),2),"")&amp;IFERROR(INDEX([2]Programme!$K$7:$L$94,MATCH($K8&amp;".4",[2]Programme!$K$7:$K$94,0),2),"")&amp;IFERROR(INDEX([2]Programme!$K$7:$L$94,MATCH($K8&amp;".5",[2]Programme!$K$7:$K$94,0),2),"")&amp;IFERROR(INDEX([2]Programme!$K$7:$L$94,MATCH($K8&amp;".6",[2]Programme!$K$7:$K$94,0),2),"")</f>
        <v>Design. Innovation et créativité. Veille. Représentation de solutions (croquis, schémas, algorithmes). Réalité augmentée. Objets connectés.</v>
      </c>
      <c r="S8" s="934"/>
      <c r="T8" s="934"/>
      <c r="U8" s="934"/>
      <c r="V8" s="934"/>
      <c r="W8" s="934"/>
      <c r="X8" s="934"/>
      <c r="Y8" s="934"/>
    </row>
    <row r="9" spans="1:25" ht="66.75" customHeight="1">
      <c r="A9" s="504"/>
      <c r="B9" s="505"/>
      <c r="C9" s="505"/>
      <c r="D9" s="505"/>
      <c r="E9" s="505"/>
      <c r="F9" s="505"/>
      <c r="G9" s="505"/>
      <c r="H9" s="505"/>
      <c r="I9" s="505"/>
      <c r="J9" s="505"/>
      <c r="K9" s="501" t="str">
        <f t="array" aca="1" ref="K9" ca="1">IFERROR(INDEX([2]Programme!$B$3:$G$46,MATCH($A$8,[2]Programme!$B$3:$B$46,0),SMALL(IF(INDIRECT("Programme!D"&amp;MATCH($A$8,[2]Programme!$B$1:$B$46,0)):INDIRECT("Programme!G"&amp;MATCH($A$8,[2]Programme!$B$1:$B$46,0))&lt;&gt;"",COLUMN([2]Programme!$D$3:$G$3)-1),ROW()-7)),"")</f>
        <v>IP.2.2</v>
      </c>
      <c r="L9" s="935" t="str">
        <f ca="1">IFERROR(INDEX([2]Programme!$I$7:$J$94,MATCH($K9,[2]Programme!$I$7:$I$94,0),2),"")</f>
        <v>Écrire, mettre au point (tester, corriger) et exécuter un programme commandant un système réel et vérifier le comportement attendu.</v>
      </c>
      <c r="M9" s="935"/>
      <c r="N9" s="935"/>
      <c r="O9" s="935"/>
      <c r="P9" s="935"/>
      <c r="Q9" s="935"/>
      <c r="R9" s="936" t="str">
        <f ca="1">IFERROR(INDEX([2]Programme!$K$7:$L$94,MATCH($K9&amp;".1",[2]Programme!$K$7:$K$94,0),2),"")&amp;IFERROR(INDEX([2]Programme!$K$7:$L$94,MATCH($K9&amp;".2",[2]Programme!$K$7:$K$94,0),2),"")&amp;IFERROR(INDEX([2]Programme!$K$7:$L$94,MATCH($K9&amp;".3",[2]Programme!$K$7:$K$94,0),2),"")&amp;IFERROR(INDEX([2]Programme!$K$7:$L$94,MATCH($K9&amp;".4",[2]Programme!$K$7:$K$94,0),2),"")&amp;IFERROR(INDEX([2]Programme!$K$7:$L$94,MATCH($K9&amp;".5",[2]Programme!$K$7:$K$94,0),2),"")&amp;IFERROR(INDEX([2]Programme!$K$7:$L$94,MATCH($K9&amp;".6",[2]Programme!$K$7:$K$94,0),2),"")</f>
        <v/>
      </c>
      <c r="S9" s="936"/>
      <c r="T9" s="936"/>
      <c r="U9" s="936"/>
      <c r="V9" s="936"/>
      <c r="W9" s="936"/>
      <c r="X9" s="936"/>
      <c r="Y9" s="936"/>
    </row>
    <row r="10" spans="1:25" ht="33.75" customHeight="1">
      <c r="A10" s="496" t="str">
        <f t="array" aca="1" ref="A10" ca="1">IFERROR(INDEX([2]Problématiques_compétences!$F$2:$AK$2,SMALL(IF(INDIRECT("Problématiques_compétences!F"&amp;MATCH($A$1,[2]Problématiques_compétences!$D$1:$D$118,0)):INDIRECT("Problématiques_compétences!AK"&amp;MATCH($A$1,[2]Problématiques_compétences!$D$1:$D$118,0))="x",COLUMN([2]Problématiques_compétences!$F$1:$AK$1)-5,""),ROW()-6)),"")</f>
        <v>CT 4.2</v>
      </c>
      <c r="B10" s="932" t="str">
        <f ca="1">IFERROR(INDEX([2]Programme!$B$4:$C$46,MATCH(A10,[2]Programme!$B$4:$B$46,0),2),"")</f>
        <v>► Appliquer les principes élémentaires de l’algorithmique et du codage à la résolution d’un problème simple.</v>
      </c>
      <c r="C10" s="932"/>
      <c r="D10" s="932"/>
      <c r="E10" s="932"/>
      <c r="F10" s="932"/>
      <c r="G10" s="932"/>
      <c r="H10" s="932"/>
      <c r="I10" s="932"/>
      <c r="J10" s="932"/>
      <c r="K10" s="497" t="str">
        <f t="array" aca="1" ref="K10" ca="1">IFERROR(INDEX([2]Programme!$B$3:$G$46,MATCH($A$10,[2]Programme!$B$3:$B$46,0),SMALL(IF(INDIRECT("Programme!D"&amp;MATCH($A$10,[2]Programme!$B$1:$B$46,0)):INDIRECT("Programme!G"&amp;MATCH($A$10,[2]Programme!$B$1:$B$46,0))&lt;&gt;"",COLUMN([2]Programme!$D$3:$G$3)-1),ROW()-9)),"")</f>
        <v>IP.2.3</v>
      </c>
      <c r="L10" s="933" t="str">
        <f ca="1">IFERROR(INDEX([2]Programme!$I$7:$J$94,MATCH($K10,[2]Programme!$I$7:$I$94,0),2),"")</f>
        <v>Écrire un programme dans lequel des actions sont déclenchées par des événements extérieurs.</v>
      </c>
      <c r="M10" s="933"/>
      <c r="N10" s="933"/>
      <c r="O10" s="933"/>
      <c r="P10" s="933"/>
      <c r="Q10" s="933"/>
      <c r="R10" s="934" t="str">
        <f ca="1">IFERROR(INDEX([2]Programme!$K$7:$L$94,MATCH($K10&amp;".1",[2]Programme!$K$7:$K$94,0),2),"")&amp;IFERROR(INDEX([2]Programme!$K$7:$L$94,MATCH($K10&amp;".2",[2]Programme!$K$7:$K$94,0),2),"")&amp;IFERROR(INDEX([2]Programme!$K$7:$L$94,MATCH($K10&amp;".3",[2]Programme!$K$7:$K$94,0),2),"")&amp;IFERROR(INDEX([2]Programme!$K$7:$L$94,MATCH($K10&amp;".4",[2]Programme!$K$7:$K$94,0),2),"")&amp;IFERROR(INDEX([2]Programme!$K$7:$L$94,MATCH($K10&amp;".5",[2]Programme!$K$7:$K$94,0),2),"")&amp;IFERROR(INDEX([2]Programme!$K$7:$L$94,MATCH($K10&amp;".6",[2]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S10" s="934"/>
      <c r="T10" s="934"/>
      <c r="U10" s="934"/>
      <c r="V10" s="934"/>
      <c r="W10" s="934"/>
      <c r="X10" s="934"/>
      <c r="Y10" s="934"/>
    </row>
    <row r="11" spans="1:25" ht="31.5" customHeight="1" thickBot="1">
      <c r="A11" s="496"/>
      <c r="B11" s="932"/>
      <c r="C11" s="932"/>
      <c r="D11" s="932"/>
      <c r="E11" s="932"/>
      <c r="F11" s="932"/>
      <c r="G11" s="932"/>
      <c r="H11" s="932"/>
      <c r="I11" s="932"/>
      <c r="J11" s="932"/>
      <c r="K11" s="497" t="str">
        <f t="array" aca="1" ref="K11" ca="1">IFERROR(INDEX([2]Programme!$B$3:$G$46,MATCH($A$10,[2]Programme!$B$3:$B$46,0),SMALL(IF(INDIRECT("Programme!D"&amp;MATCH($A$10,[2]Programme!$B$1:$B$46,0)):INDIRECT("Programme!G"&amp;MATCH($A$10,[2]Programme!$B$1:$B$46,0))&lt;&gt;"",COLUMN([2]Programme!$D$3:$G$3)-1),ROW()-9)),"")</f>
        <v/>
      </c>
      <c r="L11" s="933" t="str">
        <f ca="1">IFERROR(INDEX([2]Programme!$I$7:$J$94,MATCH($K11,[2]Programme!$I$7:$I$94,0),2),"")</f>
        <v/>
      </c>
      <c r="M11" s="933"/>
      <c r="N11" s="933"/>
      <c r="O11" s="933"/>
      <c r="P11" s="933"/>
      <c r="Q11" s="933"/>
      <c r="R11" s="934" t="str">
        <f ca="1">IFERROR(INDEX([2]Programme!$K$7:$L$94,MATCH($K11&amp;".1",[2]Programme!$K$7:$K$94,0),2),"")&amp;IFERROR(INDEX([2]Programme!$K$7:$L$94,MATCH($K11&amp;".2",[2]Programme!$K$7:$K$94,0),2),"")&amp;IFERROR(INDEX([2]Programme!$K$7:$L$94,MATCH($K11&amp;".3",[2]Programme!$K$7:$K$94,0),2),"")&amp;IFERROR(INDEX([2]Programme!$K$7:$L$94,MATCH($K11&amp;".4",[2]Programme!$K$7:$K$94,0),2),"")&amp;IFERROR(INDEX([2]Programme!$K$7:$L$94,MATCH($K11&amp;".5",[2]Programme!$K$7:$K$94,0),2),"")&amp;IFERROR(INDEX([2]Programme!$K$7:$L$94,MATCH($K11&amp;".6",[2]Programme!$K$7:$K$94,0),2),"")</f>
        <v/>
      </c>
      <c r="S11" s="934"/>
      <c r="T11" s="934"/>
      <c r="U11" s="934"/>
      <c r="V11" s="934"/>
      <c r="W11" s="934"/>
      <c r="X11" s="934"/>
      <c r="Y11" s="934"/>
    </row>
    <row r="12" spans="1:25">
      <c r="A12" s="506" t="s">
        <v>70</v>
      </c>
      <c r="B12" s="507"/>
      <c r="C12" s="507"/>
      <c r="D12" s="507"/>
      <c r="E12" s="507"/>
      <c r="F12" s="507"/>
      <c r="G12" s="507"/>
      <c r="H12" s="507"/>
      <c r="I12" s="507"/>
      <c r="J12" s="507"/>
      <c r="K12" s="430"/>
      <c r="L12" s="508"/>
      <c r="M12" s="432"/>
      <c r="N12" s="509" t="s">
        <v>72</v>
      </c>
      <c r="O12" s="510"/>
      <c r="P12" s="510"/>
      <c r="Q12" s="510"/>
      <c r="R12" s="510"/>
      <c r="S12" s="510"/>
      <c r="T12" s="510"/>
      <c r="U12" s="510"/>
      <c r="V12" s="510"/>
      <c r="W12" s="510"/>
      <c r="X12" s="510"/>
      <c r="Y12" s="511"/>
    </row>
    <row r="13" spans="1:25">
      <c r="A13" s="921" t="s">
        <v>552</v>
      </c>
      <c r="B13" s="921"/>
      <c r="C13" s="921"/>
      <c r="D13" s="921"/>
      <c r="E13" s="921"/>
      <c r="F13" s="921"/>
      <c r="G13" s="921"/>
      <c r="H13" s="921"/>
      <c r="I13" s="921"/>
      <c r="J13" s="921"/>
      <c r="K13" s="921"/>
      <c r="L13" s="921"/>
      <c r="M13" s="921"/>
      <c r="N13" s="922" t="s">
        <v>553</v>
      </c>
      <c r="O13" s="922"/>
      <c r="P13" s="922"/>
      <c r="Q13" s="922"/>
      <c r="R13" s="922"/>
      <c r="S13" s="922"/>
      <c r="T13" s="922"/>
      <c r="U13" s="922"/>
      <c r="V13" s="922"/>
      <c r="W13" s="922"/>
      <c r="X13" s="922"/>
      <c r="Y13" s="922"/>
    </row>
    <row r="14" spans="1:25" ht="71.25" customHeight="1">
      <c r="A14" s="921"/>
      <c r="B14" s="921"/>
      <c r="C14" s="921"/>
      <c r="D14" s="921"/>
      <c r="E14" s="921"/>
      <c r="F14" s="921"/>
      <c r="G14" s="921"/>
      <c r="H14" s="921"/>
      <c r="I14" s="921"/>
      <c r="J14" s="921"/>
      <c r="K14" s="921"/>
      <c r="L14" s="921"/>
      <c r="M14" s="921"/>
      <c r="N14" s="922"/>
      <c r="O14" s="922"/>
      <c r="P14" s="922"/>
      <c r="Q14" s="922"/>
      <c r="R14" s="922"/>
      <c r="S14" s="922"/>
      <c r="T14" s="922"/>
      <c r="U14" s="922"/>
      <c r="V14" s="922"/>
      <c r="W14" s="922"/>
      <c r="X14" s="922"/>
      <c r="Y14" s="922"/>
    </row>
    <row r="15" spans="1:25">
      <c r="A15" s="512" t="s">
        <v>376</v>
      </c>
      <c r="B15" s="513"/>
      <c r="C15" s="514"/>
      <c r="D15" s="514"/>
      <c r="E15" s="514"/>
      <c r="F15" s="514"/>
      <c r="G15" s="514"/>
      <c r="H15" s="514"/>
      <c r="I15" s="514"/>
      <c r="J15" s="514"/>
      <c r="K15" s="439"/>
      <c r="L15" s="515"/>
      <c r="M15" s="441"/>
      <c r="N15" s="516" t="s">
        <v>377</v>
      </c>
      <c r="O15" s="517"/>
      <c r="P15" s="517"/>
      <c r="Q15" s="517"/>
      <c r="R15" s="517"/>
      <c r="S15" s="517"/>
      <c r="T15" s="517"/>
      <c r="U15" s="517"/>
      <c r="V15" s="517"/>
      <c r="W15" s="517"/>
      <c r="X15" s="517"/>
      <c r="Y15" s="518"/>
    </row>
    <row r="16" spans="1:25" ht="15.75" thickBot="1">
      <c r="A16" s="923" t="s">
        <v>549</v>
      </c>
      <c r="B16" s="923"/>
      <c r="C16" s="923"/>
      <c r="D16" s="923"/>
      <c r="E16" s="923"/>
      <c r="F16" s="923"/>
      <c r="G16" s="923"/>
      <c r="H16" s="923"/>
      <c r="I16" s="923"/>
      <c r="J16" s="923"/>
      <c r="K16" s="923"/>
      <c r="L16" s="923"/>
      <c r="M16" s="923"/>
      <c r="N16" s="924" t="s">
        <v>554</v>
      </c>
      <c r="O16" s="924"/>
      <c r="P16" s="924"/>
      <c r="Q16" s="924"/>
      <c r="R16" s="924"/>
      <c r="S16" s="924"/>
      <c r="T16" s="924"/>
      <c r="U16" s="924"/>
      <c r="V16" s="924"/>
      <c r="W16" s="924"/>
      <c r="X16" s="924"/>
      <c r="Y16" s="924"/>
    </row>
    <row r="17" spans="1:25" ht="46.5" customHeight="1" thickBot="1">
      <c r="A17" s="923"/>
      <c r="B17" s="923"/>
      <c r="C17" s="923"/>
      <c r="D17" s="923"/>
      <c r="E17" s="923"/>
      <c r="F17" s="923"/>
      <c r="G17" s="923"/>
      <c r="H17" s="923"/>
      <c r="I17" s="923"/>
      <c r="J17" s="923"/>
      <c r="K17" s="923"/>
      <c r="L17" s="923"/>
      <c r="M17" s="923"/>
      <c r="N17" s="924"/>
      <c r="O17" s="924"/>
      <c r="P17" s="924"/>
      <c r="Q17" s="924"/>
      <c r="R17" s="924"/>
      <c r="S17" s="924"/>
      <c r="T17" s="924"/>
      <c r="U17" s="924"/>
      <c r="V17" s="924"/>
      <c r="W17" s="924"/>
      <c r="X17" s="924"/>
      <c r="Y17" s="924"/>
    </row>
    <row r="18" spans="1:25" ht="22.5" customHeight="1" thickBot="1">
      <c r="A18" s="519" t="s">
        <v>73</v>
      </c>
      <c r="B18" s="510"/>
      <c r="C18" s="510"/>
      <c r="D18" s="510"/>
      <c r="E18" s="510"/>
      <c r="F18" s="925" t="s">
        <v>550</v>
      </c>
      <c r="G18" s="925"/>
      <c r="H18" s="925"/>
      <c r="I18" s="925"/>
      <c r="J18" s="925"/>
      <c r="K18" s="925"/>
      <c r="L18" s="925"/>
      <c r="M18" s="925"/>
      <c r="N18" s="926" t="s">
        <v>382</v>
      </c>
      <c r="O18" s="926"/>
      <c r="P18" s="926"/>
      <c r="Q18" s="926"/>
      <c r="R18" s="927" t="s">
        <v>555</v>
      </c>
      <c r="S18" s="927"/>
      <c r="T18" s="927"/>
      <c r="U18" s="927"/>
      <c r="V18" s="925"/>
      <c r="W18" s="925"/>
      <c r="X18" s="925"/>
      <c r="Y18" s="925"/>
    </row>
    <row r="19" spans="1:25" ht="35.25" customHeight="1" thickBot="1">
      <c r="A19" s="520" t="s">
        <v>465</v>
      </c>
      <c r="B19" s="521"/>
      <c r="C19" s="521"/>
      <c r="D19" s="521"/>
      <c r="E19" s="521"/>
      <c r="F19" s="928"/>
      <c r="G19" s="928"/>
      <c r="H19" s="928"/>
      <c r="I19" s="928"/>
      <c r="J19" s="928"/>
      <c r="K19" s="928"/>
      <c r="L19" s="928"/>
      <c r="M19" s="928"/>
      <c r="N19" s="926"/>
      <c r="O19" s="926"/>
      <c r="P19" s="926"/>
      <c r="Q19" s="926"/>
      <c r="R19" s="929"/>
      <c r="S19" s="929"/>
      <c r="T19" s="929"/>
      <c r="U19" s="929"/>
      <c r="V19" s="930"/>
      <c r="W19" s="930"/>
      <c r="X19" s="930"/>
      <c r="Y19" s="930"/>
    </row>
    <row r="20" spans="1:25">
      <c r="A20" s="522"/>
      <c r="B20" s="517"/>
      <c r="C20" s="517"/>
      <c r="D20" s="517"/>
      <c r="E20" s="517"/>
      <c r="F20" s="517"/>
      <c r="G20" s="517"/>
      <c r="H20" s="439"/>
      <c r="I20" s="439"/>
      <c r="J20" s="439"/>
      <c r="K20" s="523"/>
      <c r="L20" s="523"/>
      <c r="M20" s="523"/>
      <c r="N20" s="523"/>
      <c r="O20" s="524"/>
      <c r="P20" s="524"/>
      <c r="Q20" s="524"/>
      <c r="R20" s="524"/>
      <c r="S20" s="524"/>
      <c r="T20" s="524"/>
      <c r="U20" s="524"/>
      <c r="V20" s="524"/>
      <c r="W20" s="524"/>
      <c r="X20" s="524"/>
      <c r="Y20" s="524"/>
    </row>
    <row r="21" spans="1:25" ht="15.75">
      <c r="A21" s="931" t="s">
        <v>74</v>
      </c>
      <c r="B21" s="931"/>
      <c r="C21" s="931"/>
      <c r="D21" s="931"/>
      <c r="E21" s="931"/>
      <c r="F21" s="931"/>
      <c r="G21" s="931"/>
      <c r="H21" s="931"/>
      <c r="I21" s="931"/>
      <c r="J21" s="931"/>
      <c r="K21" s="931"/>
      <c r="L21" s="931"/>
      <c r="M21" s="931"/>
      <c r="N21" s="931"/>
      <c r="O21" s="931"/>
      <c r="P21" s="931"/>
      <c r="Q21" s="931"/>
      <c r="R21" s="931"/>
      <c r="S21" s="931"/>
      <c r="T21" s="931"/>
      <c r="U21" s="931"/>
      <c r="V21" s="931"/>
      <c r="W21" s="931"/>
      <c r="X21" s="931"/>
      <c r="Y21" s="931"/>
    </row>
    <row r="22" spans="1:25" ht="36.75" customHeight="1">
      <c r="A22" s="525"/>
      <c r="B22" s="427"/>
      <c r="C22" s="914" t="s">
        <v>75</v>
      </c>
      <c r="D22" s="914"/>
      <c r="E22" s="914"/>
      <c r="F22" s="914"/>
      <c r="G22" s="914"/>
      <c r="H22" s="914"/>
      <c r="I22" s="914"/>
      <c r="J22" s="914"/>
      <c r="K22" s="914"/>
      <c r="L22" s="915" t="s">
        <v>76</v>
      </c>
      <c r="M22" s="915"/>
      <c r="N22" s="915"/>
      <c r="O22" s="915"/>
      <c r="P22" s="915"/>
      <c r="Q22" s="915"/>
      <c r="R22" s="915"/>
      <c r="S22" s="914" t="s">
        <v>77</v>
      </c>
      <c r="T22" s="914"/>
      <c r="U22" s="914"/>
      <c r="V22" s="914"/>
      <c r="W22" s="914"/>
      <c r="X22" s="914"/>
      <c r="Y22" s="914"/>
    </row>
    <row r="23" spans="1:25" ht="48.75" customHeight="1">
      <c r="A23" s="918" t="s">
        <v>78</v>
      </c>
      <c r="B23" s="918"/>
      <c r="C23" s="919" t="s">
        <v>556</v>
      </c>
      <c r="D23" s="919"/>
      <c r="E23" s="919"/>
      <c r="F23" s="919"/>
      <c r="G23" s="919"/>
      <c r="H23" s="919"/>
      <c r="I23" s="919"/>
      <c r="J23" s="919"/>
      <c r="K23" s="919"/>
      <c r="L23" s="920" t="s">
        <v>557</v>
      </c>
      <c r="M23" s="920"/>
      <c r="N23" s="920"/>
      <c r="O23" s="920"/>
      <c r="P23" s="920"/>
      <c r="Q23" s="920"/>
      <c r="R23" s="920"/>
      <c r="S23" s="920" t="s">
        <v>558</v>
      </c>
      <c r="T23" s="920"/>
      <c r="U23" s="920"/>
      <c r="V23" s="920"/>
      <c r="W23" s="920"/>
      <c r="X23" s="920"/>
      <c r="Y23" s="920"/>
    </row>
    <row r="24" spans="1:25" ht="161.25" customHeight="1">
      <c r="A24" s="909" t="s">
        <v>79</v>
      </c>
      <c r="B24" s="909"/>
      <c r="C24" s="916" t="s">
        <v>559</v>
      </c>
      <c r="D24" s="916"/>
      <c r="E24" s="916"/>
      <c r="F24" s="916"/>
      <c r="G24" s="916"/>
      <c r="H24" s="916"/>
      <c r="I24" s="916"/>
      <c r="J24" s="916"/>
      <c r="K24" s="916"/>
      <c r="L24" s="917" t="s">
        <v>560</v>
      </c>
      <c r="M24" s="917"/>
      <c r="N24" s="917"/>
      <c r="O24" s="917"/>
      <c r="P24" s="917"/>
      <c r="Q24" s="917"/>
      <c r="R24" s="917"/>
      <c r="S24" s="917" t="s">
        <v>561</v>
      </c>
      <c r="T24" s="917"/>
      <c r="U24" s="917"/>
      <c r="V24" s="917"/>
      <c r="W24" s="917"/>
      <c r="X24" s="917"/>
      <c r="Y24" s="917"/>
    </row>
    <row r="25" spans="1:25" ht="52.5" customHeight="1">
      <c r="A25" s="911" t="s">
        <v>81</v>
      </c>
      <c r="B25" s="911"/>
      <c r="C25" s="912" t="s">
        <v>562</v>
      </c>
      <c r="D25" s="912"/>
      <c r="E25" s="912"/>
      <c r="F25" s="912"/>
      <c r="G25" s="912"/>
      <c r="H25" s="912"/>
      <c r="I25" s="912"/>
      <c r="J25" s="912"/>
      <c r="K25" s="912"/>
      <c r="L25" s="913" t="s">
        <v>551</v>
      </c>
      <c r="M25" s="913"/>
      <c r="N25" s="913"/>
      <c r="O25" s="913"/>
      <c r="P25" s="913"/>
      <c r="Q25" s="913"/>
      <c r="R25" s="913"/>
      <c r="S25" s="913" t="s">
        <v>563</v>
      </c>
      <c r="T25" s="913"/>
      <c r="U25" s="913"/>
      <c r="V25" s="913"/>
      <c r="W25" s="913"/>
      <c r="X25" s="913"/>
      <c r="Y25" s="913"/>
    </row>
    <row r="26" spans="1:25" ht="83.25" customHeight="1">
      <c r="A26" s="911" t="s">
        <v>80</v>
      </c>
      <c r="B26" s="911"/>
      <c r="C26" s="910" t="s">
        <v>564</v>
      </c>
      <c r="D26" s="910"/>
      <c r="E26" s="910"/>
      <c r="F26" s="910"/>
      <c r="G26" s="910"/>
      <c r="H26" s="910"/>
      <c r="I26" s="910"/>
      <c r="J26" s="910"/>
      <c r="K26" s="910"/>
      <c r="L26" s="910" t="s">
        <v>565</v>
      </c>
      <c r="M26" s="910"/>
      <c r="N26" s="910"/>
      <c r="O26" s="910"/>
      <c r="P26" s="910"/>
      <c r="Q26" s="910"/>
      <c r="R26" s="910"/>
      <c r="S26" s="910" t="s">
        <v>566</v>
      </c>
      <c r="T26" s="910"/>
      <c r="U26" s="910"/>
      <c r="V26" s="910"/>
      <c r="W26" s="910"/>
      <c r="X26" s="910"/>
      <c r="Y26" s="910"/>
    </row>
    <row r="27" spans="1:25" ht="81" customHeight="1">
      <c r="A27" s="909" t="s">
        <v>335</v>
      </c>
      <c r="B27" s="909"/>
      <c r="C27" s="910" t="s">
        <v>567</v>
      </c>
      <c r="D27" s="910"/>
      <c r="E27" s="910"/>
      <c r="F27" s="910"/>
      <c r="G27" s="910"/>
      <c r="H27" s="910"/>
      <c r="I27" s="910"/>
      <c r="J27" s="910"/>
      <c r="K27" s="910"/>
      <c r="L27" s="910" t="s">
        <v>568</v>
      </c>
      <c r="M27" s="910"/>
      <c r="N27" s="910"/>
      <c r="O27" s="910"/>
      <c r="P27" s="910"/>
      <c r="Q27" s="910"/>
      <c r="R27" s="910"/>
      <c r="S27" s="910" t="s">
        <v>569</v>
      </c>
      <c r="T27" s="910"/>
      <c r="U27" s="910"/>
      <c r="V27" s="910"/>
      <c r="W27" s="910"/>
      <c r="X27" s="910"/>
      <c r="Y27" s="910"/>
    </row>
  </sheetData>
  <mergeCells count="58">
    <mergeCell ref="R10:Y10"/>
    <mergeCell ref="L5:Q5"/>
    <mergeCell ref="R5:Y5"/>
    <mergeCell ref="A1:A2"/>
    <mergeCell ref="B2:M2"/>
    <mergeCell ref="B4:J4"/>
    <mergeCell ref="L4:Q4"/>
    <mergeCell ref="R4:Y4"/>
    <mergeCell ref="A21:Y21"/>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A13:M14"/>
    <mergeCell ref="N13:Y14"/>
    <mergeCell ref="A16:M17"/>
    <mergeCell ref="N16:Y17"/>
    <mergeCell ref="F18:M18"/>
    <mergeCell ref="N18:Q19"/>
    <mergeCell ref="R18:U18"/>
    <mergeCell ref="V18:Y18"/>
    <mergeCell ref="F19:M19"/>
    <mergeCell ref="R19:U19"/>
    <mergeCell ref="V19:Y19"/>
    <mergeCell ref="C22:K22"/>
    <mergeCell ref="L22:R22"/>
    <mergeCell ref="S22:Y22"/>
    <mergeCell ref="A24:B24"/>
    <mergeCell ref="C24:K24"/>
    <mergeCell ref="L24:R24"/>
    <mergeCell ref="S24:Y24"/>
    <mergeCell ref="A23:B23"/>
    <mergeCell ref="C23:K23"/>
    <mergeCell ref="L23:R23"/>
    <mergeCell ref="S23:Y23"/>
    <mergeCell ref="A27:B27"/>
    <mergeCell ref="C27:K27"/>
    <mergeCell ref="L27:R27"/>
    <mergeCell ref="S27:Y27"/>
    <mergeCell ref="A25:B25"/>
    <mergeCell ref="C25:K25"/>
    <mergeCell ref="L25:R25"/>
    <mergeCell ref="S25:Y25"/>
    <mergeCell ref="A26:B26"/>
    <mergeCell ref="C26:K26"/>
    <mergeCell ref="L26:R26"/>
    <mergeCell ref="S26:Y2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994F2-959C-46B2-8581-101BA0D660EF}">
  <sheetPr>
    <tabColor theme="0"/>
  </sheetPr>
  <dimension ref="A1:Y35"/>
  <sheetViews>
    <sheetView zoomScale="85" zoomScaleNormal="85" workbookViewId="0">
      <selection activeCell="S25" sqref="S25:Y25"/>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571</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PROJET N°1  : Automatiser le fonctionnement d'une serre aquaponique</v>
      </c>
      <c r="C2" s="886"/>
      <c r="D2" s="886"/>
      <c r="E2" s="886"/>
      <c r="F2" s="886"/>
      <c r="G2" s="886"/>
      <c r="H2" s="886"/>
      <c r="I2" s="886"/>
      <c r="J2" s="886"/>
      <c r="K2" s="886"/>
      <c r="L2" s="886"/>
      <c r="M2" s="887"/>
      <c r="N2" s="407" t="str">
        <f>INDEX(Problématiques_compétences!$B$3:$D$118,MATCH(A1,Problématiques_compétences!$D$3:$D$118,0),1)</f>
        <v>Appropriation du cahier des charges et recherche de solutions</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CS 1.6</v>
      </c>
      <c r="B4" s="872" t="str">
        <f ca="1">INDEX(Programme!$B$4:$C$46,MATCH(A4,Programme!$B$4:$B$46,0),2)</f>
        <v>► Analyser le fonctionnement et la structure d’un objet, identifier les entrées et sorties.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MSOST.1.3</v>
      </c>
      <c r="L4" s="873" t="str">
        <f ca="1">IFERROR(INDEX(Programme!$I$7:$J$94,MATCH($K4,Programme!$I$7:$I$94,0),2),"")</f>
        <v>Analyser le fonctionnement et la structure d’un objet, identifier les entrées et sorties.</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Représentation fonctionnelle des systèmes. Structure des systèmes. Chaîne d’énergie.Chaîne d’information.</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2.1</v>
      </c>
      <c r="B6" s="872" t="str">
        <f ca="1">IFERROR(INDEX(Programme!$B$4:$C$46,MATCH(A6,Programme!$B$4:$B$46,0),2),"")</f>
        <v>► Identifier un besoin et énoncer un problème technique, identifier les conditions, contraintes (normes et règlements) et ressources correspondantes.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DIC.1.1</v>
      </c>
      <c r="L6" s="873" t="str">
        <f ca="1">IFERROR(INDEX(Programme!$I$7:$J$94,MATCH($K6,Programme!$I$7:$I$94,0),2),"")</f>
        <v>Identifier un besoin (biens matériels ou services) et énoncer un problème technique.</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xml:space="preserve">Besoin, contraintes, normalisation. </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DIC.1.2</v>
      </c>
      <c r="L7" s="879" t="str">
        <f ca="1">IFERROR(INDEX(Programme!$I$7:$J$94,MATCH($K7,Programme!$I$7:$I$94,0),2),"")</f>
        <v>Identifier les conditions, contraintes (normes et règlements) et ressources correspondantes, qualifier et quantifier simplement les performances d’un objet technique existant ou à créer.</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xml:space="preserve">Principaux éléments d’un cahier des charges.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2.3</v>
      </c>
      <c r="B8" s="872" t="str">
        <f ca="1">IFERROR(INDEX(Programme!$B$4:$C$46,MATCH(A8,Programme!$B$4:$B$46,0),2),"")</f>
        <v>► S’approprier un cahier des charges.</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DIC.1.2</v>
      </c>
      <c r="L8" s="873" t="str">
        <f ca="1">IFERROR(INDEX(Programme!$I$7:$J$94,MATCH($K8,Programme!$I$7:$I$94,0),2),"")</f>
        <v>Identifier les conditions, contraintes (normes et règlements) et ressources correspondantes, qualifier et quantifier simplement les performances d’un objet technique existant ou à créer.</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xml:space="preserve">Principaux éléments d’un cahier des charges.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2.5</v>
      </c>
      <c r="B10" s="872" t="str">
        <f ca="1">IFERROR(INDEX(Programme!$B$4:$C$46,MATCH(A10,Programme!$B$4:$B$46,0),2),"")</f>
        <v>► Imaginer des solutions en réponse au besoin.</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DIC.1.5</v>
      </c>
      <c r="L10" s="873" t="str">
        <f ca="1">IFERROR(INDEX(Programme!$I$7:$J$94,MATCH($K10,Programme!$I$7:$I$94,0),2),"")</f>
        <v>Imaginer des solutions pour produire des objets et des éléments de programmes informatiques en réponse au besoin.</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Design. Innovation et créativité. Veille. Représentation de solutions (croquis, schémas, algorithmes). Réalité augmentée. Objets connectés.</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58" t="s">
        <v>70</v>
      </c>
      <c r="B12" s="531"/>
      <c r="C12" s="531"/>
      <c r="D12" s="531"/>
      <c r="E12" s="531"/>
      <c r="F12" s="531"/>
      <c r="G12" s="531"/>
      <c r="H12" s="531"/>
      <c r="I12" s="531"/>
      <c r="J12" s="531"/>
      <c r="K12" s="430"/>
      <c r="L12" s="460"/>
      <c r="M12" s="432"/>
      <c r="N12" s="461" t="s">
        <v>72</v>
      </c>
      <c r="O12" s="462"/>
      <c r="P12" s="462"/>
      <c r="Q12" s="462"/>
      <c r="R12" s="462"/>
      <c r="S12" s="462"/>
      <c r="T12" s="462"/>
      <c r="U12" s="462"/>
      <c r="V12" s="462"/>
      <c r="W12" s="462"/>
      <c r="X12" s="462"/>
      <c r="Y12" s="463"/>
    </row>
    <row r="13" spans="1:25" ht="30.75" customHeight="1">
      <c r="A13" s="894" t="s">
        <v>578</v>
      </c>
      <c r="B13" s="894"/>
      <c r="C13" s="894"/>
      <c r="D13" s="894"/>
      <c r="E13" s="894"/>
      <c r="F13" s="894"/>
      <c r="G13" s="894"/>
      <c r="H13" s="894"/>
      <c r="I13" s="894"/>
      <c r="J13" s="894"/>
      <c r="K13" s="894"/>
      <c r="L13" s="894"/>
      <c r="M13" s="894"/>
      <c r="N13" s="894" t="s">
        <v>579</v>
      </c>
      <c r="O13" s="894"/>
      <c r="P13" s="894"/>
      <c r="Q13" s="894"/>
      <c r="R13" s="894"/>
      <c r="S13" s="894"/>
      <c r="T13" s="894"/>
      <c r="U13" s="894"/>
      <c r="V13" s="894"/>
      <c r="W13" s="894"/>
      <c r="X13" s="894"/>
      <c r="Y13" s="894"/>
    </row>
    <row r="14" spans="1:25" ht="30.75" customHeight="1">
      <c r="A14" s="894"/>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row>
    <row r="15" spans="1:25" ht="16.5" customHeight="1">
      <c r="A15" s="464" t="s">
        <v>376</v>
      </c>
      <c r="B15" s="532"/>
      <c r="C15" s="533"/>
      <c r="D15" s="533"/>
      <c r="E15" s="533"/>
      <c r="F15" s="533"/>
      <c r="G15" s="533"/>
      <c r="H15" s="533"/>
      <c r="I15" s="533"/>
      <c r="J15" s="533"/>
      <c r="K15" s="439"/>
      <c r="L15" s="467"/>
      <c r="M15" s="441"/>
      <c r="N15" s="468" t="s">
        <v>377</v>
      </c>
      <c r="O15" s="469"/>
      <c r="P15" s="469"/>
      <c r="Q15" s="469"/>
      <c r="R15" s="469"/>
      <c r="S15" s="469"/>
      <c r="T15" s="469"/>
      <c r="U15" s="469"/>
      <c r="V15" s="469"/>
      <c r="W15" s="469"/>
      <c r="X15" s="469"/>
      <c r="Y15" s="470"/>
    </row>
    <row r="16" spans="1:25" ht="30" customHeight="1" thickBot="1">
      <c r="A16" s="895" t="s">
        <v>580</v>
      </c>
      <c r="B16" s="895"/>
      <c r="C16" s="895"/>
      <c r="D16" s="895"/>
      <c r="E16" s="895"/>
      <c r="F16" s="895"/>
      <c r="G16" s="895"/>
      <c r="H16" s="895"/>
      <c r="I16" s="895"/>
      <c r="J16" s="895"/>
      <c r="K16" s="895"/>
      <c r="L16" s="895"/>
      <c r="M16" s="895"/>
      <c r="N16" s="895"/>
      <c r="O16" s="895"/>
      <c r="P16" s="895"/>
      <c r="Q16" s="895"/>
      <c r="R16" s="895"/>
      <c r="S16" s="895"/>
      <c r="T16" s="895"/>
      <c r="U16" s="895"/>
      <c r="V16" s="895"/>
      <c r="W16" s="895"/>
      <c r="X16" s="895"/>
      <c r="Y16" s="895"/>
    </row>
    <row r="17" spans="1:25" ht="30" customHeight="1" thickBot="1">
      <c r="A17" s="895"/>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row>
    <row r="18" spans="1:25" ht="16.5" customHeight="1" thickBot="1">
      <c r="A18" s="471" t="s">
        <v>73</v>
      </c>
      <c r="B18" s="462"/>
      <c r="C18" s="462"/>
      <c r="D18" s="462"/>
      <c r="E18" s="462"/>
      <c r="F18" s="939" t="s">
        <v>550</v>
      </c>
      <c r="G18" s="939"/>
      <c r="H18" s="939"/>
      <c r="I18" s="939"/>
      <c r="J18" s="939"/>
      <c r="K18" s="939"/>
      <c r="L18" s="939"/>
      <c r="M18" s="939"/>
      <c r="N18" s="896" t="s">
        <v>382</v>
      </c>
      <c r="O18" s="896"/>
      <c r="P18" s="896"/>
      <c r="Q18" s="896"/>
      <c r="R18" s="897"/>
      <c r="S18" s="897"/>
      <c r="T18" s="897"/>
      <c r="U18" s="897"/>
      <c r="V18" s="939"/>
      <c r="W18" s="939"/>
      <c r="X18" s="939"/>
      <c r="Y18" s="939"/>
    </row>
    <row r="19" spans="1:25" ht="33.75" customHeight="1" thickBot="1">
      <c r="A19" s="473" t="s">
        <v>465</v>
      </c>
      <c r="B19" s="474"/>
      <c r="C19" s="474"/>
      <c r="D19" s="474"/>
      <c r="E19" s="474"/>
      <c r="F19" s="941" t="s">
        <v>581</v>
      </c>
      <c r="G19" s="941"/>
      <c r="H19" s="941"/>
      <c r="I19" s="941"/>
      <c r="J19" s="941"/>
      <c r="K19" s="941"/>
      <c r="L19" s="941"/>
      <c r="M19" s="941"/>
      <c r="N19" s="896"/>
      <c r="O19" s="896"/>
      <c r="P19" s="896"/>
      <c r="Q19" s="896"/>
      <c r="R19" s="899"/>
      <c r="S19" s="899"/>
      <c r="T19" s="899"/>
      <c r="U19" s="899"/>
      <c r="V19" s="940"/>
      <c r="W19" s="940"/>
      <c r="X19" s="940"/>
      <c r="Y19" s="940"/>
    </row>
    <row r="20" spans="1:25">
      <c r="A20" s="477"/>
      <c r="B20" s="469"/>
      <c r="C20" s="469"/>
      <c r="D20" s="469"/>
      <c r="E20" s="469"/>
      <c r="F20" s="469"/>
      <c r="G20" s="469"/>
      <c r="H20" s="439"/>
      <c r="I20" s="439"/>
      <c r="J20" s="439"/>
      <c r="K20" s="478"/>
      <c r="L20" s="478"/>
      <c r="M20" s="478"/>
      <c r="N20" s="478"/>
      <c r="O20" s="534"/>
      <c r="P20" s="534"/>
      <c r="Q20" s="534"/>
      <c r="R20" s="534"/>
      <c r="S20" s="534"/>
      <c r="T20" s="534"/>
      <c r="U20" s="534"/>
      <c r="V20" s="534"/>
      <c r="W20" s="534"/>
      <c r="X20" s="534"/>
      <c r="Y20" s="534"/>
    </row>
    <row r="21" spans="1:25" ht="15.75">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02" t="s">
        <v>75</v>
      </c>
      <c r="D22" s="902"/>
      <c r="E22" s="902"/>
      <c r="F22" s="902"/>
      <c r="G22" s="902"/>
      <c r="H22" s="902"/>
      <c r="I22" s="902"/>
      <c r="J22" s="902"/>
      <c r="K22" s="902"/>
      <c r="L22" s="903" t="s">
        <v>76</v>
      </c>
      <c r="M22" s="903"/>
      <c r="N22" s="903"/>
      <c r="O22" s="903"/>
      <c r="P22" s="903"/>
      <c r="Q22" s="903"/>
      <c r="R22" s="903"/>
      <c r="S22" s="902" t="s">
        <v>77</v>
      </c>
      <c r="T22" s="902"/>
      <c r="U22" s="902"/>
      <c r="V22" s="902"/>
      <c r="W22" s="902"/>
      <c r="X22" s="902"/>
      <c r="Y22" s="902"/>
    </row>
    <row r="23" spans="1:25" ht="33.75" customHeight="1">
      <c r="A23" s="904" t="s">
        <v>78</v>
      </c>
      <c r="B23" s="904"/>
      <c r="C23" s="905" t="s">
        <v>582</v>
      </c>
      <c r="D23" s="905"/>
      <c r="E23" s="905"/>
      <c r="F23" s="905"/>
      <c r="G23" s="905"/>
      <c r="H23" s="905"/>
      <c r="I23" s="905"/>
      <c r="J23" s="905"/>
      <c r="K23" s="905"/>
      <c r="L23" s="905" t="s">
        <v>583</v>
      </c>
      <c r="M23" s="905"/>
      <c r="N23" s="905"/>
      <c r="O23" s="905"/>
      <c r="P23" s="905"/>
      <c r="Q23" s="905"/>
      <c r="R23" s="905"/>
      <c r="S23" s="905" t="s">
        <v>584</v>
      </c>
      <c r="T23" s="905"/>
      <c r="U23" s="905"/>
      <c r="V23" s="905"/>
      <c r="W23" s="905"/>
      <c r="X23" s="905"/>
      <c r="Y23" s="905"/>
    </row>
    <row r="24" spans="1:25" ht="247.5" customHeight="1">
      <c r="A24" s="907" t="s">
        <v>79</v>
      </c>
      <c r="B24" s="907"/>
      <c r="C24" s="942" t="s">
        <v>585</v>
      </c>
      <c r="D24" s="942"/>
      <c r="E24" s="942"/>
      <c r="F24" s="942"/>
      <c r="G24" s="942"/>
      <c r="H24" s="942"/>
      <c r="I24" s="942"/>
      <c r="J24" s="942"/>
      <c r="K24" s="942"/>
      <c r="L24" s="942" t="s">
        <v>586</v>
      </c>
      <c r="M24" s="942"/>
      <c r="N24" s="942"/>
      <c r="O24" s="942"/>
      <c r="P24" s="942"/>
      <c r="Q24" s="942"/>
      <c r="R24" s="942"/>
      <c r="S24" s="942" t="s">
        <v>587</v>
      </c>
      <c r="T24" s="942"/>
      <c r="U24" s="942"/>
      <c r="V24" s="942"/>
      <c r="W24" s="942"/>
      <c r="X24" s="942"/>
      <c r="Y24" s="942"/>
    </row>
    <row r="25" spans="1:25" ht="45" customHeight="1">
      <c r="A25" s="908" t="s">
        <v>81</v>
      </c>
      <c r="B25" s="908"/>
      <c r="C25" s="905" t="s">
        <v>588</v>
      </c>
      <c r="D25" s="905"/>
      <c r="E25" s="905"/>
      <c r="F25" s="905"/>
      <c r="G25" s="905"/>
      <c r="H25" s="905"/>
      <c r="I25" s="905"/>
      <c r="J25" s="905"/>
      <c r="K25" s="905"/>
      <c r="L25" s="905" t="s">
        <v>589</v>
      </c>
      <c r="M25" s="905"/>
      <c r="N25" s="905"/>
      <c r="O25" s="905"/>
      <c r="P25" s="905"/>
      <c r="Q25" s="905"/>
      <c r="R25" s="905"/>
      <c r="S25" s="905" t="s">
        <v>589</v>
      </c>
      <c r="T25" s="905"/>
      <c r="U25" s="905"/>
      <c r="V25" s="905"/>
      <c r="W25" s="905"/>
      <c r="X25" s="905"/>
      <c r="Y25" s="905"/>
    </row>
    <row r="26" spans="1:25" ht="45" customHeight="1">
      <c r="A26" s="908" t="s">
        <v>80</v>
      </c>
      <c r="B26" s="908"/>
      <c r="C26" s="905" t="s">
        <v>590</v>
      </c>
      <c r="D26" s="905"/>
      <c r="E26" s="905"/>
      <c r="F26" s="905"/>
      <c r="G26" s="905"/>
      <c r="H26" s="905"/>
      <c r="I26" s="905"/>
      <c r="J26" s="905"/>
      <c r="K26" s="905"/>
      <c r="L26" s="905" t="s">
        <v>591</v>
      </c>
      <c r="M26" s="905"/>
      <c r="N26" s="905"/>
      <c r="O26" s="905"/>
      <c r="P26" s="905"/>
      <c r="Q26" s="905"/>
      <c r="R26" s="905"/>
      <c r="S26" s="905" t="s">
        <v>591</v>
      </c>
      <c r="T26" s="905"/>
      <c r="U26" s="905"/>
      <c r="V26" s="905"/>
      <c r="W26" s="905"/>
      <c r="X26" s="905"/>
      <c r="Y26" s="905"/>
    </row>
    <row r="27" spans="1:25" ht="45" customHeight="1">
      <c r="A27" s="907" t="s">
        <v>542</v>
      </c>
      <c r="B27" s="907"/>
      <c r="C27" s="905" t="s">
        <v>592</v>
      </c>
      <c r="D27" s="905"/>
      <c r="E27" s="905"/>
      <c r="F27" s="905"/>
      <c r="G27" s="905"/>
      <c r="H27" s="905"/>
      <c r="I27" s="905"/>
      <c r="J27" s="905"/>
      <c r="K27" s="905"/>
      <c r="L27" s="905" t="s">
        <v>593</v>
      </c>
      <c r="M27" s="905"/>
      <c r="N27" s="905"/>
      <c r="O27" s="905"/>
      <c r="P27" s="905"/>
      <c r="Q27" s="905"/>
      <c r="R27" s="905"/>
      <c r="S27" s="905" t="s">
        <v>594</v>
      </c>
      <c r="T27" s="905"/>
      <c r="U27" s="905"/>
      <c r="V27" s="905"/>
      <c r="W27" s="905"/>
      <c r="X27" s="905"/>
      <c r="Y27" s="905"/>
    </row>
    <row r="30" spans="1:25">
      <c r="D30" s="394"/>
    </row>
    <row r="32" spans="1:25">
      <c r="I32" s="396"/>
      <c r="J32" s="396"/>
      <c r="K32" s="396"/>
    </row>
    <row r="33" spans="9:11" ht="15.75">
      <c r="I33" s="397"/>
      <c r="J33" s="398"/>
      <c r="K33" s="395"/>
    </row>
    <row r="34" spans="9:11">
      <c r="I34" s="396"/>
      <c r="J34" s="395"/>
    </row>
    <row r="35" spans="9:11">
      <c r="I35" s="396"/>
    </row>
  </sheetData>
  <mergeCells count="58">
    <mergeCell ref="A21:Y21"/>
    <mergeCell ref="C22:K22"/>
    <mergeCell ref="L22:R22"/>
    <mergeCell ref="S22:Y22"/>
    <mergeCell ref="A23:B23"/>
    <mergeCell ref="C23:K23"/>
    <mergeCell ref="L23:R23"/>
    <mergeCell ref="S23:Y23"/>
    <mergeCell ref="A27:B27"/>
    <mergeCell ref="C27:K27"/>
    <mergeCell ref="L27:R27"/>
    <mergeCell ref="S27:Y27"/>
    <mergeCell ref="A24:B24"/>
    <mergeCell ref="C24:K24"/>
    <mergeCell ref="L24:R24"/>
    <mergeCell ref="S24:Y24"/>
    <mergeCell ref="A25:B25"/>
    <mergeCell ref="C25:K25"/>
    <mergeCell ref="L25:R25"/>
    <mergeCell ref="S25:Y25"/>
    <mergeCell ref="A26:B26"/>
    <mergeCell ref="C26:K26"/>
    <mergeCell ref="L26:R26"/>
    <mergeCell ref="S26:Y26"/>
    <mergeCell ref="A13:M14"/>
    <mergeCell ref="N13:Y14"/>
    <mergeCell ref="A16:M17"/>
    <mergeCell ref="N16:Y17"/>
    <mergeCell ref="N18:Q19"/>
    <mergeCell ref="R18:U18"/>
    <mergeCell ref="V18:Y18"/>
    <mergeCell ref="R19:U19"/>
    <mergeCell ref="V19:Y19"/>
    <mergeCell ref="F18:M18"/>
    <mergeCell ref="F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EDCA0-2B1F-46DC-96C7-77B0C31EDB51}">
  <sheetPr>
    <tabColor theme="0"/>
  </sheetPr>
  <dimension ref="A1:Y35"/>
  <sheetViews>
    <sheetView zoomScale="85" zoomScaleNormal="85" workbookViewId="0">
      <selection activeCell="C25" sqref="C25:K25"/>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575</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PROJET N°1  : Automatiser le fonctionnement d'une serre aquaponique</v>
      </c>
      <c r="C2" s="886"/>
      <c r="D2" s="886"/>
      <c r="E2" s="886"/>
      <c r="F2" s="886"/>
      <c r="G2" s="886"/>
      <c r="H2" s="886"/>
      <c r="I2" s="886"/>
      <c r="J2" s="886"/>
      <c r="K2" s="886"/>
      <c r="L2" s="886"/>
      <c r="M2" s="887"/>
      <c r="N2" s="407" t="str">
        <f>INDEX(Problématiques_compétences!$B$3:$D$118,MATCH(A1,Problématiques_compétences!$D$3:$D$118,0),1)</f>
        <v>Réalisation</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1.4</v>
      </c>
      <c r="B4" s="872" t="str">
        <f ca="1">INDEX(Programme!$B$4:$C$46,MATCH(A4,Programme!$B$4:$B$46,0),2)</f>
        <v>► Participer à l’organisation et au déroulement de projets.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DIC.1.4</v>
      </c>
      <c r="L4" s="873" t="str">
        <f ca="1">IFERROR(INDEX(Programme!$I$7:$J$94,MATCH($K4,Programme!$I$7:$I$94,0),2),"")</f>
        <v>Participer à l’organisation de projets, la définition des rôles, la planification (se projeter et anticiper) et aux revues de projet.</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Organisation d’un groupe de projet, rôle des participants, planning, revue de projets.</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2.6</v>
      </c>
      <c r="B6" s="872" t="str">
        <f ca="1">IFERROR(INDEX(Programme!$B$4:$C$46,MATCH(A6,Programme!$B$4:$B$46,0),2),"")</f>
        <v>► Réaliser, de manière collaborative, le prototype de tout ou partie d’un objet pour valider une solution.</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DIC.2.1</v>
      </c>
      <c r="L6" s="873" t="str">
        <f ca="1">IFERROR(INDEX(Programme!$I$7:$J$94,MATCH($K6,Programme!$I$7:$I$94,0),2),"")</f>
        <v>Réaliser, de manière collaborative, le prototype d’un objet pour valider une solution.</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Prototypage rapide de structures et de circuits de commande à partir de cartes standard.</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MSOST.1.1</v>
      </c>
      <c r="L7" s="879" t="str">
        <f ca="1">IFERROR(INDEX(Programme!$I$7:$J$94,MATCH($K7,Programme!$I$7:$I$94,0),2),"")</f>
        <v>Respecter une procédure de travail garantissant un résultat en respectant les règles de sécurité et d’utilisation des outils mis à disposition.</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Procédures, protocoles. Ergonomie.</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5.4</v>
      </c>
      <c r="B8" s="872" t="str">
        <f ca="1">IFERROR(INDEX(Programme!$B$4:$C$46,MATCH(A8,Programme!$B$4:$B$46,0),2),"")</f>
        <v>► Piloter un système connecté localement ou à distance.</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IP.2.2</v>
      </c>
      <c r="L8" s="873" t="str">
        <f ca="1">IFERROR(INDEX(Programme!$I$7:$J$94,MATCH($K8,Programme!$I$7:$I$94,0),2),"")</f>
        <v>Écrire, mettre au point (tester, corriger) et exécuter un programme commandant un système réel et vérifier le comportement attendu.</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6.2</v>
      </c>
      <c r="B10" s="872" t="str">
        <f ca="1">IFERROR(INDEX(Programme!$B$4:$C$46,MATCH(A10,Programme!$B$4:$B$46,0),2),"")</f>
        <v>► Analyser l’impact environnemental d’un objet et de ses constituants.</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OTSCIS.1.2</v>
      </c>
      <c r="L10" s="873" t="str">
        <f ca="1">IFERROR(INDEX(Programme!$I$7:$J$94,MATCH($K10,Programme!$I$7:$I$94,0),2),"")</f>
        <v xml:space="preserve">Relier les évolutions technologiques aux inventions et innovations qui marquent des ruptures dans les solutions techniques. </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58" t="s">
        <v>70</v>
      </c>
      <c r="B12" s="531"/>
      <c r="C12" s="531"/>
      <c r="D12" s="531"/>
      <c r="E12" s="531"/>
      <c r="F12" s="531"/>
      <c r="G12" s="531"/>
      <c r="H12" s="531"/>
      <c r="I12" s="531"/>
      <c r="J12" s="531"/>
      <c r="K12" s="430"/>
      <c r="L12" s="460"/>
      <c r="M12" s="432"/>
      <c r="N12" s="461" t="s">
        <v>72</v>
      </c>
      <c r="O12" s="462"/>
      <c r="P12" s="462"/>
      <c r="Q12" s="462"/>
      <c r="R12" s="462"/>
      <c r="S12" s="462"/>
      <c r="T12" s="462"/>
      <c r="U12" s="462"/>
      <c r="V12" s="462"/>
      <c r="W12" s="462"/>
      <c r="X12" s="462"/>
      <c r="Y12" s="463"/>
    </row>
    <row r="13" spans="1:25" ht="30.75" customHeight="1">
      <c r="A13" s="894" t="s">
        <v>595</v>
      </c>
      <c r="B13" s="894"/>
      <c r="C13" s="894"/>
      <c r="D13" s="894"/>
      <c r="E13" s="894"/>
      <c r="F13" s="894"/>
      <c r="G13" s="894"/>
      <c r="H13" s="894"/>
      <c r="I13" s="894"/>
      <c r="J13" s="894"/>
      <c r="K13" s="894"/>
      <c r="L13" s="894"/>
      <c r="M13" s="894"/>
      <c r="N13" s="894" t="s">
        <v>596</v>
      </c>
      <c r="O13" s="894"/>
      <c r="P13" s="894"/>
      <c r="Q13" s="894"/>
      <c r="R13" s="894"/>
      <c r="S13" s="894"/>
      <c r="T13" s="894"/>
      <c r="U13" s="894"/>
      <c r="V13" s="894"/>
      <c r="W13" s="894"/>
      <c r="X13" s="894"/>
      <c r="Y13" s="894"/>
    </row>
    <row r="14" spans="1:25" ht="30.75" customHeight="1">
      <c r="A14" s="894"/>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row>
    <row r="15" spans="1:25" ht="16.5" customHeight="1">
      <c r="A15" s="464" t="s">
        <v>376</v>
      </c>
      <c r="B15" s="532"/>
      <c r="C15" s="533"/>
      <c r="D15" s="533"/>
      <c r="E15" s="533"/>
      <c r="F15" s="533"/>
      <c r="G15" s="533"/>
      <c r="H15" s="533"/>
      <c r="I15" s="533"/>
      <c r="J15" s="533"/>
      <c r="K15" s="439"/>
      <c r="L15" s="467"/>
      <c r="M15" s="441"/>
      <c r="N15" s="468" t="s">
        <v>377</v>
      </c>
      <c r="O15" s="469"/>
      <c r="P15" s="469"/>
      <c r="Q15" s="469"/>
      <c r="R15" s="469"/>
      <c r="S15" s="469"/>
      <c r="T15" s="469"/>
      <c r="U15" s="469"/>
      <c r="V15" s="469"/>
      <c r="W15" s="469"/>
      <c r="X15" s="469"/>
      <c r="Y15" s="470"/>
    </row>
    <row r="16" spans="1:25" ht="30" customHeight="1" thickBot="1">
      <c r="A16" s="895" t="s">
        <v>597</v>
      </c>
      <c r="B16" s="895"/>
      <c r="C16" s="895"/>
      <c r="D16" s="895"/>
      <c r="E16" s="895"/>
      <c r="F16" s="895"/>
      <c r="G16" s="895"/>
      <c r="H16" s="895"/>
      <c r="I16" s="895"/>
      <c r="J16" s="895"/>
      <c r="K16" s="895"/>
      <c r="L16" s="895"/>
      <c r="M16" s="895"/>
      <c r="N16" s="895"/>
      <c r="O16" s="895"/>
      <c r="P16" s="895"/>
      <c r="Q16" s="895"/>
      <c r="R16" s="895"/>
      <c r="S16" s="895"/>
      <c r="T16" s="895"/>
      <c r="U16" s="895"/>
      <c r="V16" s="895"/>
      <c r="W16" s="895"/>
      <c r="X16" s="895"/>
      <c r="Y16" s="895"/>
    </row>
    <row r="17" spans="1:25" ht="30" customHeight="1" thickBot="1">
      <c r="A17" s="895"/>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row>
    <row r="18" spans="1:25" ht="16.5" customHeight="1" thickBot="1">
      <c r="A18" s="471" t="s">
        <v>73</v>
      </c>
      <c r="B18" s="462"/>
      <c r="C18" s="462"/>
      <c r="D18" s="462"/>
      <c r="E18" s="462"/>
      <c r="F18" s="939" t="s">
        <v>550</v>
      </c>
      <c r="G18" s="939"/>
      <c r="H18" s="939"/>
      <c r="I18" s="939"/>
      <c r="J18" s="939"/>
      <c r="K18" s="939"/>
      <c r="L18" s="939"/>
      <c r="M18" s="939"/>
      <c r="N18" s="896" t="s">
        <v>382</v>
      </c>
      <c r="O18" s="896"/>
      <c r="P18" s="896"/>
      <c r="Q18" s="896"/>
      <c r="R18" s="939" t="s">
        <v>598</v>
      </c>
      <c r="S18" s="939"/>
      <c r="T18" s="939"/>
      <c r="U18" s="939"/>
      <c r="V18" s="939"/>
      <c r="W18" s="939"/>
      <c r="X18" s="939"/>
      <c r="Y18" s="939"/>
    </row>
    <row r="19" spans="1:25" ht="15.75" thickBot="1">
      <c r="A19" s="473" t="s">
        <v>465</v>
      </c>
      <c r="B19" s="474"/>
      <c r="C19" s="474"/>
      <c r="D19" s="474"/>
      <c r="E19" s="474"/>
      <c r="F19" s="941" t="s">
        <v>599</v>
      </c>
      <c r="G19" s="941"/>
      <c r="H19" s="941"/>
      <c r="I19" s="941"/>
      <c r="J19" s="941"/>
      <c r="K19" s="941"/>
      <c r="L19" s="941"/>
      <c r="M19" s="941"/>
      <c r="N19" s="896"/>
      <c r="O19" s="896"/>
      <c r="P19" s="896"/>
      <c r="Q19" s="896"/>
      <c r="R19" s="899"/>
      <c r="S19" s="899"/>
      <c r="T19" s="899"/>
      <c r="U19" s="899"/>
      <c r="V19" s="940"/>
      <c r="W19" s="940"/>
      <c r="X19" s="940"/>
      <c r="Y19" s="940"/>
    </row>
    <row r="20" spans="1:25">
      <c r="A20" s="477"/>
      <c r="B20" s="469"/>
      <c r="C20" s="469"/>
      <c r="D20" s="469"/>
      <c r="E20" s="469"/>
      <c r="F20" s="469"/>
      <c r="G20" s="469"/>
      <c r="H20" s="439"/>
      <c r="I20" s="439"/>
      <c r="J20" s="439"/>
      <c r="K20" s="478"/>
      <c r="L20" s="478"/>
      <c r="M20" s="478"/>
      <c r="N20" s="478"/>
      <c r="O20" s="534"/>
      <c r="P20" s="534"/>
      <c r="Q20" s="534"/>
      <c r="R20" s="534"/>
      <c r="S20" s="534"/>
      <c r="T20" s="534"/>
      <c r="U20" s="534"/>
      <c r="V20" s="534"/>
      <c r="W20" s="534"/>
      <c r="X20" s="534"/>
      <c r="Y20" s="534"/>
    </row>
    <row r="21" spans="1:25" ht="15.75">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02" t="s">
        <v>75</v>
      </c>
      <c r="D22" s="902"/>
      <c r="E22" s="902"/>
      <c r="F22" s="902"/>
      <c r="G22" s="902"/>
      <c r="H22" s="902"/>
      <c r="I22" s="902"/>
      <c r="J22" s="902"/>
      <c r="K22" s="902"/>
      <c r="L22" s="903" t="s">
        <v>76</v>
      </c>
      <c r="M22" s="903"/>
      <c r="N22" s="903"/>
      <c r="O22" s="903"/>
      <c r="P22" s="903"/>
      <c r="Q22" s="903"/>
      <c r="R22" s="903"/>
      <c r="S22" s="902" t="s">
        <v>77</v>
      </c>
      <c r="T22" s="902"/>
      <c r="U22" s="902"/>
      <c r="V22" s="902"/>
      <c r="W22" s="902"/>
      <c r="X22" s="902"/>
      <c r="Y22" s="902"/>
    </row>
    <row r="23" spans="1:25" ht="65.25" customHeight="1">
      <c r="A23" s="904" t="s">
        <v>78</v>
      </c>
      <c r="B23" s="904"/>
      <c r="C23" s="905" t="s">
        <v>600</v>
      </c>
      <c r="D23" s="905"/>
      <c r="E23" s="905"/>
      <c r="F23" s="905"/>
      <c r="G23" s="905"/>
      <c r="H23" s="905"/>
      <c r="I23" s="905"/>
      <c r="J23" s="905"/>
      <c r="K23" s="905"/>
      <c r="L23" s="906" t="s">
        <v>601</v>
      </c>
      <c r="M23" s="906"/>
      <c r="N23" s="906"/>
      <c r="O23" s="906"/>
      <c r="P23" s="906"/>
      <c r="Q23" s="906"/>
      <c r="R23" s="906"/>
      <c r="S23" s="906" t="s">
        <v>601</v>
      </c>
      <c r="T23" s="906"/>
      <c r="U23" s="906"/>
      <c r="V23" s="906"/>
      <c r="W23" s="906"/>
      <c r="X23" s="906"/>
      <c r="Y23" s="906"/>
    </row>
    <row r="24" spans="1:25" ht="409.5" customHeight="1">
      <c r="A24" s="907" t="s">
        <v>79</v>
      </c>
      <c r="B24" s="907"/>
      <c r="C24" s="942" t="s">
        <v>602</v>
      </c>
      <c r="D24" s="942"/>
      <c r="E24" s="942"/>
      <c r="F24" s="942"/>
      <c r="G24" s="942"/>
      <c r="H24" s="942"/>
      <c r="I24" s="942"/>
      <c r="J24" s="942"/>
      <c r="K24" s="942"/>
      <c r="L24" s="942" t="s">
        <v>603</v>
      </c>
      <c r="M24" s="942"/>
      <c r="N24" s="942"/>
      <c r="O24" s="942"/>
      <c r="P24" s="942"/>
      <c r="Q24" s="942"/>
      <c r="R24" s="942"/>
      <c r="S24" s="942" t="s">
        <v>604</v>
      </c>
      <c r="T24" s="942"/>
      <c r="U24" s="942"/>
      <c r="V24" s="942"/>
      <c r="W24" s="942"/>
      <c r="X24" s="942"/>
      <c r="Y24" s="942"/>
    </row>
    <row r="25" spans="1:25" ht="45" customHeight="1">
      <c r="A25" s="908" t="s">
        <v>81</v>
      </c>
      <c r="B25" s="908"/>
      <c r="C25" s="905" t="s">
        <v>605</v>
      </c>
      <c r="D25" s="905"/>
      <c r="E25" s="905"/>
      <c r="F25" s="905"/>
      <c r="G25" s="905"/>
      <c r="H25" s="905"/>
      <c r="I25" s="905"/>
      <c r="J25" s="905"/>
      <c r="K25" s="905"/>
      <c r="L25" s="905" t="s">
        <v>605</v>
      </c>
      <c r="M25" s="905"/>
      <c r="N25" s="905"/>
      <c r="O25" s="905"/>
      <c r="P25" s="905"/>
      <c r="Q25" s="905"/>
      <c r="R25" s="905"/>
      <c r="S25" s="905" t="s">
        <v>606</v>
      </c>
      <c r="T25" s="905"/>
      <c r="U25" s="905"/>
      <c r="V25" s="905"/>
      <c r="W25" s="905"/>
      <c r="X25" s="905"/>
      <c r="Y25" s="905"/>
    </row>
    <row r="26" spans="1:25" ht="88.5" customHeight="1">
      <c r="A26" s="908" t="s">
        <v>80</v>
      </c>
      <c r="B26" s="908"/>
      <c r="C26" s="905" t="s">
        <v>607</v>
      </c>
      <c r="D26" s="905"/>
      <c r="E26" s="905"/>
      <c r="F26" s="905"/>
      <c r="G26" s="905"/>
      <c r="H26" s="905"/>
      <c r="I26" s="905"/>
      <c r="J26" s="905"/>
      <c r="K26" s="905"/>
      <c r="L26" s="905" t="s">
        <v>608</v>
      </c>
      <c r="M26" s="905"/>
      <c r="N26" s="905"/>
      <c r="O26" s="905"/>
      <c r="P26" s="905"/>
      <c r="Q26" s="905"/>
      <c r="R26" s="905"/>
      <c r="S26" s="905" t="s">
        <v>609</v>
      </c>
      <c r="T26" s="905"/>
      <c r="U26" s="905"/>
      <c r="V26" s="905"/>
      <c r="W26" s="905"/>
      <c r="X26" s="905"/>
      <c r="Y26" s="905"/>
    </row>
    <row r="27" spans="1:25" ht="75" customHeight="1">
      <c r="A27" s="907" t="s">
        <v>542</v>
      </c>
      <c r="B27" s="907"/>
      <c r="C27" s="905" t="s">
        <v>610</v>
      </c>
      <c r="D27" s="905"/>
      <c r="E27" s="905"/>
      <c r="F27" s="905"/>
      <c r="G27" s="905"/>
      <c r="H27" s="905"/>
      <c r="I27" s="905"/>
      <c r="J27" s="905"/>
      <c r="K27" s="905"/>
      <c r="L27" s="905" t="s">
        <v>611</v>
      </c>
      <c r="M27" s="905"/>
      <c r="N27" s="905"/>
      <c r="O27" s="905"/>
      <c r="P27" s="905"/>
      <c r="Q27" s="905"/>
      <c r="R27" s="905"/>
      <c r="S27" s="905" t="s">
        <v>612</v>
      </c>
      <c r="T27" s="905"/>
      <c r="U27" s="905"/>
      <c r="V27" s="905"/>
      <c r="W27" s="905"/>
      <c r="X27" s="905"/>
      <c r="Y27" s="905"/>
    </row>
    <row r="30" spans="1:25">
      <c r="D30" s="394"/>
    </row>
    <row r="32" spans="1:25">
      <c r="I32" s="396"/>
      <c r="J32" s="396"/>
      <c r="K32" s="396"/>
    </row>
    <row r="33" spans="9:11" ht="15.75">
      <c r="I33" s="397"/>
      <c r="J33" s="398"/>
      <c r="K33" s="395"/>
    </row>
    <row r="34" spans="9:11">
      <c r="I34" s="396"/>
      <c r="J34" s="395"/>
    </row>
    <row r="35" spans="9:11">
      <c r="I35" s="396"/>
    </row>
  </sheetData>
  <mergeCells count="57">
    <mergeCell ref="A21:Y21"/>
    <mergeCell ref="C22:K22"/>
    <mergeCell ref="L22:R22"/>
    <mergeCell ref="S22:Y22"/>
    <mergeCell ref="A23:B23"/>
    <mergeCell ref="C23:K23"/>
    <mergeCell ref="L23:R23"/>
    <mergeCell ref="S23:Y23"/>
    <mergeCell ref="A27:B27"/>
    <mergeCell ref="C27:K27"/>
    <mergeCell ref="L27:R27"/>
    <mergeCell ref="S27:Y27"/>
    <mergeCell ref="A24:B24"/>
    <mergeCell ref="C24:K24"/>
    <mergeCell ref="L24:R24"/>
    <mergeCell ref="S24:Y24"/>
    <mergeCell ref="A25:B25"/>
    <mergeCell ref="C25:K25"/>
    <mergeCell ref="L25:R25"/>
    <mergeCell ref="S25:Y25"/>
    <mergeCell ref="A26:B26"/>
    <mergeCell ref="C26:K26"/>
    <mergeCell ref="L26:R26"/>
    <mergeCell ref="S26:Y26"/>
    <mergeCell ref="A13:M14"/>
    <mergeCell ref="N13:Y14"/>
    <mergeCell ref="A16:M17"/>
    <mergeCell ref="N16:Y17"/>
    <mergeCell ref="N18:Q19"/>
    <mergeCell ref="R19:U19"/>
    <mergeCell ref="V19:Y19"/>
    <mergeCell ref="F18:M18"/>
    <mergeCell ref="R18:Y18"/>
    <mergeCell ref="F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C2518-6AFF-4BD0-8161-F6FB472EA308}">
  <sheetPr>
    <tabColor theme="0"/>
  </sheetPr>
  <dimension ref="A1:Y35"/>
  <sheetViews>
    <sheetView topLeftCell="A19" zoomScale="85" zoomScaleNormal="85" workbookViewId="0">
      <selection activeCell="L23" sqref="L23:R23"/>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576</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PROJET N°1  : Automatiser le fonctionnement d'une serre aquaponique</v>
      </c>
      <c r="C2" s="886"/>
      <c r="D2" s="886"/>
      <c r="E2" s="886"/>
      <c r="F2" s="886"/>
      <c r="G2" s="886"/>
      <c r="H2" s="886"/>
      <c r="I2" s="886"/>
      <c r="J2" s="886"/>
      <c r="K2" s="886"/>
      <c r="L2" s="886"/>
      <c r="M2" s="887"/>
      <c r="N2" s="407" t="str">
        <f>INDEX(Problématiques_compétences!$B$3:$D$118,MATCH(A1,Problématiques_compétences!$D$3:$D$118,0),1)</f>
        <v>Test et validation</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3.3</v>
      </c>
      <c r="B4" s="872" t="str">
        <f ca="1">INDEX(Programme!$B$4:$C$46,MATCH(A4,Programme!$B$4:$B$46,0),2)</f>
        <v>► Présenter à l’oral et à l’aide de supports numériques multimédia des solutions techniques au moment des revues de projet.</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DIC.1.7</v>
      </c>
      <c r="L4" s="873" t="str">
        <f ca="1">IFERROR(INDEX(Programme!$I$7:$J$94,MATCH($K4,Programme!$I$7:$I$94,0),2),"")</f>
        <v>Présenter à l’oral et à l’aide de supports numériques multimédia des solutions techniques au moment des revues de projet.</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Outils numériques de présentation.</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
      </c>
      <c r="B6" s="872" t="str">
        <f ca="1">IFERROR(INDEX(Programme!$B$4:$C$46,MATCH(A6,Programme!$B$4:$B$46,0),2),"")</f>
        <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
      </c>
      <c r="L6" s="873" t="str">
        <f ca="1">IFERROR(INDEX(Programme!$I$7:$J$94,MATCH($K6,Programme!$I$7:$I$94,0),2),"")</f>
        <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
      </c>
      <c r="B8" s="872" t="str">
        <f ca="1">IFERROR(INDEX(Programme!$B$4:$C$46,MATCH(A8,Programme!$B$4:$B$46,0),2),"")</f>
        <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
      </c>
      <c r="L8" s="873" t="str">
        <f ca="1">IFERROR(INDEX(Programme!$I$7:$J$94,MATCH($K8,Programme!$I$7:$I$94,0),2),"")</f>
        <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872" t="str">
        <f ca="1">IFERROR(INDEX(Programme!$B$4:$C$46,MATCH(A10,Programme!$B$4:$B$46,0),2),"")</f>
        <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
      </c>
      <c r="L10" s="873" t="str">
        <f ca="1">IFERROR(INDEX(Programme!$I$7:$J$94,MATCH($K10,Programme!$I$7:$I$94,0),2),"")</f>
        <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58" t="s">
        <v>70</v>
      </c>
      <c r="B12" s="531"/>
      <c r="C12" s="531"/>
      <c r="D12" s="531"/>
      <c r="E12" s="531"/>
      <c r="F12" s="531"/>
      <c r="G12" s="531"/>
      <c r="H12" s="531"/>
      <c r="I12" s="531"/>
      <c r="J12" s="531"/>
      <c r="K12" s="430"/>
      <c r="L12" s="460"/>
      <c r="M12" s="432"/>
      <c r="N12" s="461" t="s">
        <v>72</v>
      </c>
      <c r="O12" s="462"/>
      <c r="P12" s="462"/>
      <c r="Q12" s="462"/>
      <c r="R12" s="462"/>
      <c r="S12" s="462"/>
      <c r="T12" s="462"/>
      <c r="U12" s="462"/>
      <c r="V12" s="462"/>
      <c r="W12" s="462"/>
      <c r="X12" s="462"/>
      <c r="Y12" s="463"/>
    </row>
    <row r="13" spans="1:25" ht="30.75" customHeight="1">
      <c r="A13" s="894" t="s">
        <v>613</v>
      </c>
      <c r="B13" s="894"/>
      <c r="C13" s="894"/>
      <c r="D13" s="894"/>
      <c r="E13" s="894"/>
      <c r="F13" s="894"/>
      <c r="G13" s="894"/>
      <c r="H13" s="894"/>
      <c r="I13" s="894"/>
      <c r="J13" s="894"/>
      <c r="K13" s="894"/>
      <c r="L13" s="894"/>
      <c r="M13" s="894"/>
      <c r="N13" s="894" t="s">
        <v>596</v>
      </c>
      <c r="O13" s="894"/>
      <c r="P13" s="894"/>
      <c r="Q13" s="894"/>
      <c r="R13" s="894"/>
      <c r="S13" s="894"/>
      <c r="T13" s="894"/>
      <c r="U13" s="894"/>
      <c r="V13" s="894"/>
      <c r="W13" s="894"/>
      <c r="X13" s="894"/>
      <c r="Y13" s="894"/>
    </row>
    <row r="14" spans="1:25" ht="121.5" customHeight="1">
      <c r="A14" s="894"/>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row>
    <row r="15" spans="1:25" ht="16.5" customHeight="1">
      <c r="A15" s="464" t="s">
        <v>376</v>
      </c>
      <c r="B15" s="532"/>
      <c r="C15" s="533"/>
      <c r="D15" s="533"/>
      <c r="E15" s="533"/>
      <c r="F15" s="533"/>
      <c r="G15" s="533"/>
      <c r="H15" s="533"/>
      <c r="I15" s="533"/>
      <c r="J15" s="533"/>
      <c r="K15" s="439"/>
      <c r="L15" s="467"/>
      <c r="M15" s="441"/>
      <c r="N15" s="468" t="s">
        <v>377</v>
      </c>
      <c r="O15" s="469"/>
      <c r="P15" s="469"/>
      <c r="Q15" s="469"/>
      <c r="R15" s="469"/>
      <c r="S15" s="469"/>
      <c r="T15" s="469"/>
      <c r="U15" s="469"/>
      <c r="V15" s="469"/>
      <c r="W15" s="469"/>
      <c r="X15" s="469"/>
      <c r="Y15" s="470"/>
    </row>
    <row r="16" spans="1:25" ht="30" customHeight="1" thickBot="1">
      <c r="A16" s="895" t="s">
        <v>614</v>
      </c>
      <c r="B16" s="895"/>
      <c r="C16" s="895"/>
      <c r="D16" s="895"/>
      <c r="E16" s="895"/>
      <c r="F16" s="895"/>
      <c r="G16" s="895"/>
      <c r="H16" s="895"/>
      <c r="I16" s="895"/>
      <c r="J16" s="895"/>
      <c r="K16" s="895"/>
      <c r="L16" s="895"/>
      <c r="M16" s="895"/>
      <c r="N16" s="895"/>
      <c r="O16" s="895"/>
      <c r="P16" s="895"/>
      <c r="Q16" s="895"/>
      <c r="R16" s="895"/>
      <c r="S16" s="895"/>
      <c r="T16" s="895"/>
      <c r="U16" s="895"/>
      <c r="V16" s="895"/>
      <c r="W16" s="895"/>
      <c r="X16" s="895"/>
      <c r="Y16" s="895"/>
    </row>
    <row r="17" spans="1:25" ht="44.25" customHeight="1" thickBot="1">
      <c r="A17" s="895"/>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row>
    <row r="18" spans="1:25" ht="16.5" customHeight="1" thickBot="1">
      <c r="A18" s="471" t="s">
        <v>73</v>
      </c>
      <c r="B18" s="462"/>
      <c r="C18" s="462"/>
      <c r="D18" s="462"/>
      <c r="E18" s="462"/>
      <c r="F18" s="939" t="s">
        <v>550</v>
      </c>
      <c r="G18" s="939"/>
      <c r="H18" s="939"/>
      <c r="I18" s="939"/>
      <c r="J18" s="939"/>
      <c r="K18" s="939"/>
      <c r="L18" s="939"/>
      <c r="M18" s="939"/>
      <c r="N18" s="896" t="s">
        <v>382</v>
      </c>
      <c r="O18" s="896"/>
      <c r="P18" s="896"/>
      <c r="Q18" s="896"/>
      <c r="R18" s="897"/>
      <c r="S18" s="897"/>
      <c r="T18" s="897"/>
      <c r="U18" s="897"/>
      <c r="V18" s="898"/>
      <c r="W18" s="898"/>
      <c r="X18" s="898"/>
      <c r="Y18" s="898"/>
    </row>
    <row r="19" spans="1:25" ht="15.75" thickBot="1">
      <c r="A19" s="473" t="s">
        <v>465</v>
      </c>
      <c r="B19" s="474"/>
      <c r="C19" s="474"/>
      <c r="D19" s="474"/>
      <c r="E19" s="474"/>
      <c r="F19" s="474"/>
      <c r="G19" s="474"/>
      <c r="H19" s="448"/>
      <c r="I19" s="448"/>
      <c r="J19" s="448"/>
      <c r="K19" s="475"/>
      <c r="L19" s="475"/>
      <c r="M19" s="476"/>
      <c r="N19" s="896"/>
      <c r="O19" s="896"/>
      <c r="P19" s="896"/>
      <c r="Q19" s="896"/>
      <c r="R19" s="899"/>
      <c r="S19" s="899"/>
      <c r="T19" s="899"/>
      <c r="U19" s="899"/>
      <c r="V19" s="940"/>
      <c r="W19" s="940"/>
      <c r="X19" s="940"/>
      <c r="Y19" s="940"/>
    </row>
    <row r="20" spans="1:25">
      <c r="A20" s="477"/>
      <c r="B20" s="469"/>
      <c r="C20" s="469"/>
      <c r="D20" s="469"/>
      <c r="E20" s="469"/>
      <c r="F20" s="469"/>
      <c r="G20" s="469"/>
      <c r="H20" s="439"/>
      <c r="I20" s="439"/>
      <c r="J20" s="439"/>
      <c r="K20" s="478"/>
      <c r="L20" s="478"/>
      <c r="M20" s="478"/>
      <c r="N20" s="478"/>
      <c r="O20" s="534"/>
      <c r="P20" s="534"/>
      <c r="Q20" s="534"/>
      <c r="R20" s="534"/>
      <c r="S20" s="534"/>
      <c r="T20" s="534"/>
      <c r="U20" s="534"/>
      <c r="V20" s="534"/>
      <c r="W20" s="534"/>
      <c r="X20" s="534"/>
      <c r="Y20" s="534"/>
    </row>
    <row r="21" spans="1:25" ht="15.75">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02" t="s">
        <v>75</v>
      </c>
      <c r="D22" s="902"/>
      <c r="E22" s="902"/>
      <c r="F22" s="902"/>
      <c r="G22" s="902"/>
      <c r="H22" s="902"/>
      <c r="I22" s="902"/>
      <c r="J22" s="902"/>
      <c r="K22" s="902"/>
      <c r="L22" s="903" t="s">
        <v>76</v>
      </c>
      <c r="M22" s="903"/>
      <c r="N22" s="903"/>
      <c r="O22" s="903"/>
      <c r="P22" s="903"/>
      <c r="Q22" s="903"/>
      <c r="R22" s="903"/>
      <c r="S22" s="902" t="s">
        <v>77</v>
      </c>
      <c r="T22" s="902"/>
      <c r="U22" s="902"/>
      <c r="V22" s="902"/>
      <c r="W22" s="902"/>
      <c r="X22" s="902"/>
      <c r="Y22" s="902"/>
    </row>
    <row r="23" spans="1:25" ht="91.5" customHeight="1">
      <c r="A23" s="904" t="s">
        <v>78</v>
      </c>
      <c r="B23" s="904"/>
      <c r="C23" s="905" t="s">
        <v>615</v>
      </c>
      <c r="D23" s="905"/>
      <c r="E23" s="905"/>
      <c r="F23" s="905"/>
      <c r="G23" s="905"/>
      <c r="H23" s="905"/>
      <c r="I23" s="905"/>
      <c r="J23" s="905"/>
      <c r="K23" s="905"/>
      <c r="L23" s="906"/>
      <c r="M23" s="906"/>
      <c r="N23" s="906"/>
      <c r="O23" s="906"/>
      <c r="P23" s="906"/>
      <c r="Q23" s="906"/>
      <c r="R23" s="906"/>
      <c r="S23" s="905"/>
      <c r="T23" s="905"/>
      <c r="U23" s="905"/>
      <c r="V23" s="905"/>
      <c r="W23" s="905"/>
      <c r="X23" s="905"/>
      <c r="Y23" s="905"/>
    </row>
    <row r="24" spans="1:25" ht="243.75" customHeight="1">
      <c r="A24" s="907" t="s">
        <v>79</v>
      </c>
      <c r="B24" s="907"/>
      <c r="C24" s="905" t="s">
        <v>616</v>
      </c>
      <c r="D24" s="905"/>
      <c r="E24" s="905"/>
      <c r="F24" s="905"/>
      <c r="G24" s="905"/>
      <c r="H24" s="905"/>
      <c r="I24" s="905"/>
      <c r="J24" s="905"/>
      <c r="K24" s="905"/>
      <c r="L24" s="905"/>
      <c r="M24" s="905"/>
      <c r="N24" s="905"/>
      <c r="O24" s="905"/>
      <c r="P24" s="905"/>
      <c r="Q24" s="905"/>
      <c r="R24" s="905"/>
      <c r="S24" s="905"/>
      <c r="T24" s="905"/>
      <c r="U24" s="905"/>
      <c r="V24" s="905"/>
      <c r="W24" s="905"/>
      <c r="X24" s="905"/>
      <c r="Y24" s="905"/>
    </row>
    <row r="25" spans="1:25" ht="45" customHeight="1">
      <c r="A25" s="908" t="s">
        <v>81</v>
      </c>
      <c r="B25" s="908"/>
      <c r="C25" s="905" t="s">
        <v>617</v>
      </c>
      <c r="D25" s="905"/>
      <c r="E25" s="905"/>
      <c r="F25" s="905"/>
      <c r="G25" s="905"/>
      <c r="H25" s="905"/>
      <c r="I25" s="905"/>
      <c r="J25" s="905"/>
      <c r="K25" s="905"/>
      <c r="L25" s="905"/>
      <c r="M25" s="905"/>
      <c r="N25" s="905"/>
      <c r="O25" s="905"/>
      <c r="P25" s="905"/>
      <c r="Q25" s="905"/>
      <c r="R25" s="905"/>
      <c r="S25" s="905"/>
      <c r="T25" s="905"/>
      <c r="U25" s="905"/>
      <c r="V25" s="905"/>
      <c r="W25" s="905"/>
      <c r="X25" s="905"/>
      <c r="Y25" s="905"/>
    </row>
    <row r="26" spans="1:25" ht="66.75" customHeight="1">
      <c r="A26" s="908" t="s">
        <v>80</v>
      </c>
      <c r="B26" s="908"/>
      <c r="C26" s="905" t="s">
        <v>618</v>
      </c>
      <c r="D26" s="905"/>
      <c r="E26" s="905"/>
      <c r="F26" s="905"/>
      <c r="G26" s="905"/>
      <c r="H26" s="905"/>
      <c r="I26" s="905"/>
      <c r="J26" s="905"/>
      <c r="K26" s="905"/>
      <c r="L26" s="905"/>
      <c r="M26" s="905"/>
      <c r="N26" s="905"/>
      <c r="O26" s="905"/>
      <c r="P26" s="905"/>
      <c r="Q26" s="905"/>
      <c r="R26" s="905"/>
      <c r="S26" s="905"/>
      <c r="T26" s="905"/>
      <c r="U26" s="905"/>
      <c r="V26" s="905"/>
      <c r="W26" s="905"/>
      <c r="X26" s="905"/>
      <c r="Y26" s="905"/>
    </row>
    <row r="27" spans="1:25" ht="45" customHeight="1">
      <c r="A27" s="907" t="s">
        <v>542</v>
      </c>
      <c r="B27" s="907"/>
      <c r="C27" s="905" t="s">
        <v>619</v>
      </c>
      <c r="D27" s="905"/>
      <c r="E27" s="905"/>
      <c r="F27" s="905"/>
      <c r="G27" s="905"/>
      <c r="H27" s="905"/>
      <c r="I27" s="905"/>
      <c r="J27" s="905"/>
      <c r="K27" s="905"/>
      <c r="L27" s="905"/>
      <c r="M27" s="905"/>
      <c r="N27" s="905"/>
      <c r="O27" s="905"/>
      <c r="P27" s="905"/>
      <c r="Q27" s="905"/>
      <c r="R27" s="905"/>
      <c r="S27" s="905"/>
      <c r="T27" s="905"/>
      <c r="U27" s="905"/>
      <c r="V27" s="905"/>
      <c r="W27" s="905"/>
      <c r="X27" s="905"/>
      <c r="Y27" s="905"/>
    </row>
    <row r="30" spans="1:25">
      <c r="D30" s="394"/>
    </row>
    <row r="32" spans="1:25">
      <c r="I32" s="396"/>
      <c r="J32" s="396"/>
      <c r="K32" s="396"/>
    </row>
    <row r="33" spans="9:11" ht="15.75">
      <c r="I33" s="397"/>
      <c r="J33" s="398"/>
      <c r="K33" s="395"/>
    </row>
    <row r="34" spans="9:11">
      <c r="I34" s="396"/>
      <c r="J34" s="395"/>
    </row>
    <row r="35" spans="9:11">
      <c r="I35" s="396"/>
    </row>
  </sheetData>
  <mergeCells count="57">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F18:M18"/>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ABC8A-B87D-4810-B3C3-424BEF0EB1ED}">
  <sheetPr>
    <tabColor theme="0"/>
  </sheetPr>
  <dimension ref="A1:Y35"/>
  <sheetViews>
    <sheetView topLeftCell="A16" zoomScale="85" zoomScaleNormal="85" workbookViewId="0">
      <selection activeCell="A18" activeCellId="3" sqref="N12:Y12 N15:Y15 A15:M15 A18:M18"/>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621</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1) Stabilité d'une structure</v>
      </c>
      <c r="C2" s="886"/>
      <c r="D2" s="886"/>
      <c r="E2" s="886"/>
      <c r="F2" s="886"/>
      <c r="G2" s="886"/>
      <c r="H2" s="886"/>
      <c r="I2" s="886"/>
      <c r="J2" s="886"/>
      <c r="K2" s="886"/>
      <c r="L2" s="886"/>
      <c r="M2" s="887"/>
      <c r="N2" s="407" t="str">
        <f>INDEX(Problématiques_compétences!$B$3:$D$118,MATCH(A1,Problématiques_compétences!$D$3:$D$118,0),1)</f>
        <v>Comment utiliser la simulation pour effectuer les choix de solutions techniques?</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2.3</v>
      </c>
      <c r="B4" s="872" t="str">
        <f ca="1">INDEX(Programme!$B$4:$C$46,MATCH(A4,Programme!$B$4:$B$46,0),2)</f>
        <v>► S’approprier un cahier des charges.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DIC.1.2</v>
      </c>
      <c r="L4" s="873" t="str">
        <f ca="1">IFERROR(INDEX(Programme!$I$7:$J$94,MATCH($K4,Programme!$I$7:$I$94,0),2),"")</f>
        <v>Identifier les conditions, contraintes (normes et règlements) et ressources correspondantes, qualifier et quantifier simplement les performances d’un objet technique existant ou à créer.</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 xml:space="preserve">Principaux éléments d’un cahier des charges. </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2.5</v>
      </c>
      <c r="B6" s="872" t="str">
        <f ca="1">IFERROR(INDEX(Programme!$B$4:$C$46,MATCH(A6,Programme!$B$4:$B$46,0),2),"")</f>
        <v>► Imaginer des solutions en réponse au besoin.</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DIC.1.5</v>
      </c>
      <c r="L6" s="873" t="str">
        <f ca="1">IFERROR(INDEX(Programme!$I$7:$J$94,MATCH($K6,Programme!$I$7:$I$94,0),2),"")</f>
        <v>Imaginer des solutions pour produire des objets et des éléments de programmes informatiques en réponse au besoin.</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Design. Innovation et créativité. Veille. Représentation de solutions (croquis, schémas, algorithmes). Réalité augmentée. Objets connectés.</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3.2</v>
      </c>
      <c r="B8" s="872" t="str">
        <f ca="1">IFERROR(INDEX(Programme!$B$4:$C$46,MATCH(A8,Programme!$B$4:$B$46,0),2),"")</f>
        <v>► Traduire, à l’aide d’outils de représentation numérique, des choix de solutions sous forme de croquis, de dessins ou de schémas.</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DIC.1.5</v>
      </c>
      <c r="L8" s="873" t="str">
        <f ca="1">IFERROR(INDEX(Programme!$I$7:$J$94,MATCH($K8,Programme!$I$7:$I$94,0),2),"")</f>
        <v>Imaginer des solutions pour produire des objets et des éléments de programmes informatiques en réponse au besoin.</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Design. Innovation et créativité. Veille. Représentation de solutions (croquis, schémas, algorithmes). Réalité augmentée. Objets connectés.</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OTSCIS.2.2</v>
      </c>
      <c r="L9" s="879" t="str">
        <f ca="1">IFERROR(INDEX(Programme!$I$7:$J$94,MATCH($K9,Programme!$I$7:$I$94,0),2),"")</f>
        <v>Lire, utiliser et produire, à l’aide d’outils de représentation numérique, des choix de solutions sous forme de dessins ou de schémas.</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Outils numériques de description des objets techniques.</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5.1</v>
      </c>
      <c r="B10" s="872" t="str">
        <f ca="1">IFERROR(INDEX(Programme!$B$4:$C$46,MATCH(A10,Programme!$B$4:$B$46,0),2),"")</f>
        <v>► Simuler numériquement la structure et/ou le comportement d’un objet.</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MSOST.2.2</v>
      </c>
      <c r="L10" s="873" t="str">
        <f ca="1">IFERROR(INDEX(Programme!$I$7:$J$94,MATCH($K10,Programme!$I$7:$I$94,0),2),"")</f>
        <v>Simuler numériquement la structure et/ou le comportement d’un objet. Interpréter le comportement de l’objet technique et le communiquer en argumentant.</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Notions d’écarts entre les attentes fixées par le cahier des charges et les résultats de la simulation.</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thickTop="1">
      <c r="A12" s="952" t="s">
        <v>70</v>
      </c>
      <c r="B12" s="953"/>
      <c r="C12" s="953"/>
      <c r="D12" s="953"/>
      <c r="E12" s="953"/>
      <c r="F12" s="953"/>
      <c r="G12" s="953"/>
      <c r="H12" s="953"/>
      <c r="I12" s="953"/>
      <c r="J12" s="953"/>
      <c r="K12" s="953"/>
      <c r="L12" s="953"/>
      <c r="M12" s="954"/>
      <c r="N12" s="955" t="s">
        <v>72</v>
      </c>
      <c r="O12" s="956"/>
      <c r="P12" s="956"/>
      <c r="Q12" s="956"/>
      <c r="R12" s="956"/>
      <c r="S12" s="956"/>
      <c r="T12" s="956"/>
      <c r="U12" s="956"/>
      <c r="V12" s="956"/>
      <c r="W12" s="956"/>
      <c r="X12" s="956"/>
      <c r="Y12" s="957"/>
    </row>
    <row r="13" spans="1:25" ht="33" customHeight="1">
      <c r="A13" s="964" t="s">
        <v>622</v>
      </c>
      <c r="B13" s="965"/>
      <c r="C13" s="965"/>
      <c r="D13" s="965"/>
      <c r="E13" s="965"/>
      <c r="F13" s="965"/>
      <c r="G13" s="965"/>
      <c r="H13" s="965"/>
      <c r="I13" s="965"/>
      <c r="J13" s="965"/>
      <c r="K13" s="965"/>
      <c r="L13" s="965"/>
      <c r="M13" s="966"/>
      <c r="N13" s="964" t="s">
        <v>623</v>
      </c>
      <c r="O13" s="965"/>
      <c r="P13" s="965"/>
      <c r="Q13" s="965"/>
      <c r="R13" s="965"/>
      <c r="S13" s="965"/>
      <c r="T13" s="965"/>
      <c r="U13" s="965"/>
      <c r="V13" s="965"/>
      <c r="W13" s="965"/>
      <c r="X13" s="965"/>
      <c r="Y13" s="966"/>
    </row>
    <row r="14" spans="1:25" ht="30.75" customHeight="1" thickBot="1">
      <c r="A14" s="967"/>
      <c r="B14" s="968"/>
      <c r="C14" s="968"/>
      <c r="D14" s="968"/>
      <c r="E14" s="968"/>
      <c r="F14" s="968"/>
      <c r="G14" s="968"/>
      <c r="H14" s="968"/>
      <c r="I14" s="968"/>
      <c r="J14" s="968"/>
      <c r="K14" s="968"/>
      <c r="L14" s="968"/>
      <c r="M14" s="969"/>
      <c r="N14" s="967"/>
      <c r="O14" s="968"/>
      <c r="P14" s="968"/>
      <c r="Q14" s="968"/>
      <c r="R14" s="968"/>
      <c r="S14" s="968"/>
      <c r="T14" s="968"/>
      <c r="U14" s="968"/>
      <c r="V14" s="968"/>
      <c r="W14" s="968"/>
      <c r="X14" s="968"/>
      <c r="Y14" s="969"/>
    </row>
    <row r="15" spans="1:25" ht="16.5" customHeight="1">
      <c r="A15" s="958" t="s">
        <v>376</v>
      </c>
      <c r="B15" s="959"/>
      <c r="C15" s="959"/>
      <c r="D15" s="959"/>
      <c r="E15" s="959"/>
      <c r="F15" s="959"/>
      <c r="G15" s="959"/>
      <c r="H15" s="959"/>
      <c r="I15" s="959"/>
      <c r="J15" s="959"/>
      <c r="K15" s="959"/>
      <c r="L15" s="959"/>
      <c r="M15" s="960"/>
      <c r="N15" s="961" t="s">
        <v>377</v>
      </c>
      <c r="O15" s="962"/>
      <c r="P15" s="962"/>
      <c r="Q15" s="962"/>
      <c r="R15" s="962"/>
      <c r="S15" s="962"/>
      <c r="T15" s="962"/>
      <c r="U15" s="962"/>
      <c r="V15" s="962"/>
      <c r="W15" s="962"/>
      <c r="X15" s="962"/>
      <c r="Y15" s="963"/>
    </row>
    <row r="16" spans="1:25" ht="30" customHeight="1">
      <c r="A16" s="964" t="s">
        <v>624</v>
      </c>
      <c r="B16" s="965"/>
      <c r="C16" s="965"/>
      <c r="D16" s="965"/>
      <c r="E16" s="965"/>
      <c r="F16" s="965"/>
      <c r="G16" s="965"/>
      <c r="H16" s="965"/>
      <c r="I16" s="965"/>
      <c r="J16" s="965"/>
      <c r="K16" s="965"/>
      <c r="L16" s="965"/>
      <c r="M16" s="966"/>
      <c r="N16" s="964" t="s">
        <v>625</v>
      </c>
      <c r="O16" s="965"/>
      <c r="P16" s="965"/>
      <c r="Q16" s="965"/>
      <c r="R16" s="965"/>
      <c r="S16" s="965"/>
      <c r="T16" s="965"/>
      <c r="U16" s="965"/>
      <c r="V16" s="965"/>
      <c r="W16" s="965"/>
      <c r="X16" s="965"/>
      <c r="Y16" s="966"/>
    </row>
    <row r="17" spans="1:25" ht="30" customHeight="1" thickBot="1">
      <c r="A17" s="970"/>
      <c r="B17" s="971"/>
      <c r="C17" s="971"/>
      <c r="D17" s="971"/>
      <c r="E17" s="971"/>
      <c r="F17" s="971"/>
      <c r="G17" s="971"/>
      <c r="H17" s="971"/>
      <c r="I17" s="971"/>
      <c r="J17" s="971"/>
      <c r="K17" s="971"/>
      <c r="L17" s="971"/>
      <c r="M17" s="972"/>
      <c r="N17" s="970"/>
      <c r="O17" s="971"/>
      <c r="P17" s="971"/>
      <c r="Q17" s="971"/>
      <c r="R17" s="971"/>
      <c r="S17" s="971"/>
      <c r="T17" s="971"/>
      <c r="U17" s="971"/>
      <c r="V17" s="971"/>
      <c r="W17" s="971"/>
      <c r="X17" s="971"/>
      <c r="Y17" s="972"/>
    </row>
    <row r="18" spans="1:25" ht="16.5" customHeight="1" thickTop="1">
      <c r="A18" s="955" t="s">
        <v>73</v>
      </c>
      <c r="B18" s="956"/>
      <c r="C18" s="956"/>
      <c r="D18" s="956"/>
      <c r="E18" s="956"/>
      <c r="F18" s="956"/>
      <c r="G18" s="956"/>
      <c r="H18" s="956"/>
      <c r="I18" s="956"/>
      <c r="J18" s="956"/>
      <c r="K18" s="956"/>
      <c r="L18" s="956"/>
      <c r="M18" s="957"/>
      <c r="N18" s="973" t="s">
        <v>382</v>
      </c>
      <c r="O18" s="974"/>
      <c r="P18" s="974"/>
      <c r="Q18" s="974"/>
      <c r="R18" s="977" t="s">
        <v>626</v>
      </c>
      <c r="S18" s="977"/>
      <c r="T18" s="977"/>
      <c r="U18" s="977"/>
      <c r="V18" s="977"/>
      <c r="W18" s="977"/>
      <c r="X18" s="977"/>
      <c r="Y18" s="978"/>
    </row>
    <row r="19" spans="1:25" ht="27" thickBot="1">
      <c r="A19" s="539" t="s">
        <v>465</v>
      </c>
      <c r="B19" s="540"/>
      <c r="C19" s="540"/>
      <c r="D19" s="540"/>
      <c r="E19" s="540"/>
      <c r="F19" s="540"/>
      <c r="G19" s="540"/>
      <c r="H19" s="541"/>
      <c r="I19" s="541"/>
      <c r="J19" s="541"/>
      <c r="K19" s="542"/>
      <c r="L19" s="542"/>
      <c r="M19" s="543"/>
      <c r="N19" s="975"/>
      <c r="O19" s="976"/>
      <c r="P19" s="976"/>
      <c r="Q19" s="976"/>
      <c r="R19" s="971"/>
      <c r="S19" s="971"/>
      <c r="T19" s="971"/>
      <c r="U19" s="971"/>
      <c r="V19" s="971"/>
      <c r="W19" s="971"/>
      <c r="X19" s="971"/>
      <c r="Y19" s="972"/>
    </row>
    <row r="20" spans="1:25" ht="15.75" thickTop="1">
      <c r="A20" s="537"/>
      <c r="B20" s="535"/>
      <c r="C20" s="535"/>
      <c r="D20" s="535"/>
      <c r="E20" s="535"/>
      <c r="F20" s="535"/>
      <c r="G20" s="535"/>
      <c r="H20" s="536"/>
      <c r="I20" s="536"/>
      <c r="J20" s="536"/>
      <c r="K20" s="538"/>
      <c r="L20" s="538"/>
      <c r="M20" s="538"/>
      <c r="N20" s="538"/>
      <c r="O20" s="535"/>
      <c r="P20" s="535"/>
      <c r="Q20" s="535"/>
      <c r="R20" s="535"/>
      <c r="S20" s="535"/>
      <c r="T20" s="535"/>
      <c r="U20" s="535"/>
      <c r="V20" s="535"/>
      <c r="W20" s="535"/>
      <c r="X20" s="535"/>
      <c r="Y20" s="535"/>
    </row>
    <row r="21" spans="1:25" ht="16.5" customHeight="1" thickBot="1">
      <c r="A21" s="943" t="s">
        <v>74</v>
      </c>
      <c r="B21" s="943"/>
      <c r="C21" s="943"/>
      <c r="D21" s="943"/>
      <c r="E21" s="943"/>
      <c r="F21" s="943"/>
      <c r="G21" s="943"/>
      <c r="H21" s="943"/>
      <c r="I21" s="943"/>
      <c r="J21" s="943"/>
      <c r="K21" s="943"/>
      <c r="L21" s="943"/>
      <c r="M21" s="943"/>
      <c r="N21" s="943"/>
      <c r="O21" s="943"/>
      <c r="P21" s="943"/>
      <c r="Q21" s="943"/>
      <c r="R21" s="943"/>
      <c r="S21" s="943"/>
      <c r="T21" s="943"/>
      <c r="U21" s="943"/>
      <c r="V21" s="943"/>
      <c r="W21" s="943"/>
      <c r="X21" s="943"/>
      <c r="Y21" s="943"/>
    </row>
    <row r="22" spans="1:25" ht="15.75" customHeight="1" thickBot="1">
      <c r="A22" s="537"/>
      <c r="B22" s="536"/>
      <c r="C22" s="944" t="s">
        <v>75</v>
      </c>
      <c r="D22" s="945"/>
      <c r="E22" s="945"/>
      <c r="F22" s="945"/>
      <c r="G22" s="945"/>
      <c r="H22" s="945"/>
      <c r="I22" s="945"/>
      <c r="J22" s="945"/>
      <c r="K22" s="946"/>
      <c r="L22" s="944" t="s">
        <v>76</v>
      </c>
      <c r="M22" s="945"/>
      <c r="N22" s="945"/>
      <c r="O22" s="945"/>
      <c r="P22" s="945"/>
      <c r="Q22" s="945"/>
      <c r="R22" s="946"/>
      <c r="S22" s="944" t="s">
        <v>77</v>
      </c>
      <c r="T22" s="945"/>
      <c r="U22" s="945"/>
      <c r="V22" s="945"/>
      <c r="W22" s="945"/>
      <c r="X22" s="945"/>
      <c r="Y22" s="946"/>
    </row>
    <row r="23" spans="1:25" ht="33.75" customHeight="1" thickBot="1">
      <c r="A23" s="947" t="s">
        <v>78</v>
      </c>
      <c r="B23" s="948"/>
      <c r="C23" s="949" t="s">
        <v>627</v>
      </c>
      <c r="D23" s="950"/>
      <c r="E23" s="950"/>
      <c r="F23" s="950"/>
      <c r="G23" s="950"/>
      <c r="H23" s="950"/>
      <c r="I23" s="950"/>
      <c r="J23" s="950"/>
      <c r="K23" s="951"/>
      <c r="L23" s="949" t="s">
        <v>628</v>
      </c>
      <c r="M23" s="950"/>
      <c r="N23" s="950"/>
      <c r="O23" s="950"/>
      <c r="P23" s="950"/>
      <c r="Q23" s="950"/>
      <c r="R23" s="951"/>
      <c r="S23" s="949" t="s">
        <v>629</v>
      </c>
      <c r="T23" s="950"/>
      <c r="U23" s="950"/>
      <c r="V23" s="950"/>
      <c r="W23" s="950"/>
      <c r="X23" s="950"/>
      <c r="Y23" s="951"/>
    </row>
    <row r="24" spans="1:25" ht="45" customHeight="1" thickBot="1">
      <c r="A24" s="947" t="s">
        <v>79</v>
      </c>
      <c r="B24" s="948"/>
      <c r="C24" s="949" t="s">
        <v>630</v>
      </c>
      <c r="D24" s="950"/>
      <c r="E24" s="950"/>
      <c r="F24" s="950"/>
      <c r="G24" s="950"/>
      <c r="H24" s="950"/>
      <c r="I24" s="950"/>
      <c r="J24" s="950"/>
      <c r="K24" s="951"/>
      <c r="L24" s="949" t="s">
        <v>631</v>
      </c>
      <c r="M24" s="950"/>
      <c r="N24" s="950"/>
      <c r="O24" s="950"/>
      <c r="P24" s="950"/>
      <c r="Q24" s="950"/>
      <c r="R24" s="951"/>
      <c r="S24" s="949" t="s">
        <v>632</v>
      </c>
      <c r="T24" s="950"/>
      <c r="U24" s="950"/>
      <c r="V24" s="950"/>
      <c r="W24" s="950"/>
      <c r="X24" s="950"/>
      <c r="Y24" s="951"/>
    </row>
    <row r="25" spans="1:25" ht="45" customHeight="1" thickBot="1">
      <c r="A25" s="947" t="s">
        <v>81</v>
      </c>
      <c r="B25" s="948"/>
      <c r="C25" s="949" t="s">
        <v>633</v>
      </c>
      <c r="D25" s="950"/>
      <c r="E25" s="950"/>
      <c r="F25" s="950"/>
      <c r="G25" s="950"/>
      <c r="H25" s="950"/>
      <c r="I25" s="950"/>
      <c r="J25" s="950"/>
      <c r="K25" s="951"/>
      <c r="L25" s="949" t="s">
        <v>633</v>
      </c>
      <c r="M25" s="950"/>
      <c r="N25" s="950"/>
      <c r="O25" s="950"/>
      <c r="P25" s="950"/>
      <c r="Q25" s="950"/>
      <c r="R25" s="951"/>
      <c r="S25" s="949" t="s">
        <v>633</v>
      </c>
      <c r="T25" s="950"/>
      <c r="U25" s="950"/>
      <c r="V25" s="950"/>
      <c r="W25" s="950"/>
      <c r="X25" s="950"/>
      <c r="Y25" s="951"/>
    </row>
    <row r="26" spans="1:25" ht="45" customHeight="1" thickBot="1">
      <c r="A26" s="947" t="s">
        <v>80</v>
      </c>
      <c r="B26" s="948"/>
      <c r="C26" s="949" t="s">
        <v>634</v>
      </c>
      <c r="D26" s="950"/>
      <c r="E26" s="950"/>
      <c r="F26" s="950"/>
      <c r="G26" s="950"/>
      <c r="H26" s="950"/>
      <c r="I26" s="950"/>
      <c r="J26" s="950"/>
      <c r="K26" s="951"/>
      <c r="L26" s="949" t="s">
        <v>635</v>
      </c>
      <c r="M26" s="950"/>
      <c r="N26" s="950"/>
      <c r="O26" s="950"/>
      <c r="P26" s="950"/>
      <c r="Q26" s="950"/>
      <c r="R26" s="951"/>
      <c r="S26" s="949" t="s">
        <v>636</v>
      </c>
      <c r="T26" s="950"/>
      <c r="U26" s="950"/>
      <c r="V26" s="950"/>
      <c r="W26" s="950"/>
      <c r="X26" s="950"/>
      <c r="Y26" s="951"/>
    </row>
    <row r="27" spans="1:25" ht="45" customHeight="1" thickBot="1">
      <c r="A27" s="947" t="s">
        <v>335</v>
      </c>
      <c r="B27" s="948"/>
      <c r="C27" s="949" t="s">
        <v>637</v>
      </c>
      <c r="D27" s="950"/>
      <c r="E27" s="950"/>
      <c r="F27" s="950"/>
      <c r="G27" s="950"/>
      <c r="H27" s="950"/>
      <c r="I27" s="950"/>
      <c r="J27" s="950"/>
      <c r="K27" s="951"/>
      <c r="L27" s="949" t="s">
        <v>638</v>
      </c>
      <c r="M27" s="950"/>
      <c r="N27" s="950"/>
      <c r="O27" s="950"/>
      <c r="P27" s="950"/>
      <c r="Q27" s="950"/>
      <c r="R27" s="951"/>
      <c r="S27" s="949" t="s">
        <v>639</v>
      </c>
      <c r="T27" s="950"/>
      <c r="U27" s="950"/>
      <c r="V27" s="950"/>
      <c r="W27" s="950"/>
      <c r="X27" s="950"/>
      <c r="Y27" s="951"/>
    </row>
    <row r="30" spans="1:25">
      <c r="D30" s="394"/>
    </row>
    <row r="32" spans="1:25">
      <c r="I32" s="396"/>
      <c r="J32" s="396"/>
      <c r="K32" s="396"/>
    </row>
    <row r="33" spans="9:11" ht="15.75">
      <c r="I33" s="397"/>
      <c r="J33" s="398"/>
      <c r="K33" s="395"/>
    </row>
    <row r="34" spans="9:11">
      <c r="I34" s="396"/>
      <c r="J34" s="395"/>
    </row>
    <row r="35" spans="9:11">
      <c r="I35" s="396"/>
    </row>
  </sheetData>
  <mergeCells count="61">
    <mergeCell ref="A12:M12"/>
    <mergeCell ref="N12:Y12"/>
    <mergeCell ref="A15:M15"/>
    <mergeCell ref="N15:Y15"/>
    <mergeCell ref="A18:M18"/>
    <mergeCell ref="A13:M14"/>
    <mergeCell ref="N13:Y14"/>
    <mergeCell ref="A16:M17"/>
    <mergeCell ref="N16:Y17"/>
    <mergeCell ref="N18:Q19"/>
    <mergeCell ref="R18:U18"/>
    <mergeCell ref="V18:Y18"/>
    <mergeCell ref="R19:U19"/>
    <mergeCell ref="V19:Y19"/>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ADF23-058A-4067-943D-080C0478E9BF}">
  <sheetPr>
    <tabColor theme="0"/>
  </sheetPr>
  <dimension ref="A1:Y35"/>
  <sheetViews>
    <sheetView topLeftCell="A20" zoomScale="85" zoomScaleNormal="85" workbookViewId="0">
      <selection activeCell="A16" sqref="A16:M17"/>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641</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3) Assurer le confort dans un milieu urbain</v>
      </c>
      <c r="C2" s="886"/>
      <c r="D2" s="886"/>
      <c r="E2" s="886"/>
      <c r="F2" s="886"/>
      <c r="G2" s="886"/>
      <c r="H2" s="886"/>
      <c r="I2" s="886"/>
      <c r="J2" s="886"/>
      <c r="K2" s="886"/>
      <c r="L2" s="886"/>
      <c r="M2" s="887"/>
      <c r="N2" s="407" t="str">
        <f>INDEX(Problématiques_compétences!$B$3:$D$118,MATCH(A1,Problématiques_compétences!$D$3:$D$118,0),1)</f>
        <v>Quel éclairage pour demain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CS 1.6</v>
      </c>
      <c r="B4" s="872" t="str">
        <f ca="1">INDEX(Programme!$B$4:$C$46,MATCH(A4,Programme!$B$4:$B$46,0),2)</f>
        <v>► Analyser le fonctionnement et la structure d’un objet, identifier les entrées et sorties.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MSOST.1.3</v>
      </c>
      <c r="L4" s="873" t="str">
        <f ca="1">IFERROR(INDEX(Programme!$I$7:$J$94,MATCH($K4,Programme!$I$7:$I$94,0),2),"")</f>
        <v>Analyser le fonctionnement et la structure d’un objet, identifier les entrées et sorties.</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Représentation fonctionnelle des systèmes. Structure des systèmes. Chaîne d’énergie.Chaîne d’information.</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2.2</v>
      </c>
      <c r="B6" s="872" t="str">
        <f ca="1">IFERROR(INDEX(Programme!$B$4:$C$46,MATCH(A6,Programme!$B$4:$B$46,0),2),"")</f>
        <v>► Identifier le(s) matériau(x), les flux d’énergie et d’information dans le cadre d’une production technique sur un objet et décrire les transformations qui s’opèrent.</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MSOST.1.4</v>
      </c>
      <c r="L6" s="873" t="str">
        <f ca="1">IFERROR(INDEX(Programme!$I$7:$J$94,MATCH($K6,Programme!$I$7:$I$94,0),2),"")</f>
        <v>Identifier le(s) matériau(x), les flux d’énergie et d’information sur un objet et décrire les transformations qui s’opèrent.</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Familles de matériaux avec leurs principales caractéristiques. Sources d’énergies. Chaîne d’énergie. Chaîne d’information.</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2.6</v>
      </c>
      <c r="B8" s="872" t="str">
        <f ca="1">IFERROR(INDEX(Programme!$B$4:$C$46,MATCH(A8,Programme!$B$4:$B$46,0),2),"")</f>
        <v>► Réaliser, de manière collaborative, le prototype de tout ou partie d’un objet pour valider une solution.</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DIC.2.1</v>
      </c>
      <c r="L8" s="873" t="str">
        <f ca="1">IFERROR(INDEX(Programme!$I$7:$J$94,MATCH($K8,Programme!$I$7:$I$94,0),2),"")</f>
        <v>Réaliser, de manière collaborative, le prototype d’un objet pour valider une solution.</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Prototypage rapide de structures et de circuits de commande à partir de cartes standard.</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MSOST.1.1</v>
      </c>
      <c r="L9" s="879" t="str">
        <f ca="1">IFERROR(INDEX(Programme!$I$7:$J$94,MATCH($K9,Programme!$I$7:$I$94,0),2),"")</f>
        <v>Respecter une procédure de travail garantissant un résultat en respectant les règles de sécurité et d’utilisation des outils mis à disposition.</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Procédures, protocoles. Ergonomie.</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4.2</v>
      </c>
      <c r="B10" s="872" t="str">
        <f ca="1">IFERROR(INDEX(Programme!$B$4:$C$46,MATCH(A10,Programme!$B$4:$B$46,0),2),"")</f>
        <v>► Appliquer les principes élémentaires de l’algorithmique et du codage à la résolution d’un problème simple.</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IP.2.3</v>
      </c>
      <c r="L10" s="873" t="str">
        <f ca="1">IFERROR(INDEX(Programme!$I$7:$J$94,MATCH($K10,Programme!$I$7:$I$94,0),2),"")</f>
        <v>Écrire un programme dans lequel des actions sont déclenchées par des événements extérieurs.</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642</v>
      </c>
      <c r="B13" s="852"/>
      <c r="C13" s="852"/>
      <c r="D13" s="852"/>
      <c r="E13" s="852"/>
      <c r="F13" s="852"/>
      <c r="G13" s="852"/>
      <c r="H13" s="852"/>
      <c r="I13" s="852"/>
      <c r="J13" s="852"/>
      <c r="K13" s="852"/>
      <c r="L13" s="852"/>
      <c r="M13" s="853"/>
      <c r="N13" s="857" t="s">
        <v>643</v>
      </c>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644</v>
      </c>
      <c r="B16" s="858"/>
      <c r="C16" s="858"/>
      <c r="D16" s="858"/>
      <c r="E16" s="858"/>
      <c r="F16" s="858"/>
      <c r="G16" s="858"/>
      <c r="H16" s="858"/>
      <c r="I16" s="858"/>
      <c r="J16" s="858"/>
      <c r="K16" s="858"/>
      <c r="L16" s="858"/>
      <c r="M16" s="859"/>
      <c r="N16" s="857" t="s">
        <v>645</v>
      </c>
      <c r="O16" s="858"/>
      <c r="P16" s="858"/>
      <c r="Q16" s="858"/>
      <c r="R16" s="858"/>
      <c r="S16" s="858"/>
      <c r="T16" s="858"/>
      <c r="U16" s="858"/>
      <c r="V16" s="858"/>
      <c r="W16" s="858"/>
      <c r="X16" s="858"/>
      <c r="Y16" s="859"/>
    </row>
    <row r="17" spans="1:25" ht="39"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c r="G18" s="434"/>
      <c r="H18" s="434"/>
      <c r="I18" s="434"/>
      <c r="J18" s="434"/>
      <c r="K18" s="433"/>
      <c r="L18" s="431"/>
      <c r="M18" s="446"/>
      <c r="N18" s="866" t="s">
        <v>382</v>
      </c>
      <c r="O18" s="867"/>
      <c r="P18" s="867"/>
      <c r="Q18" s="867"/>
      <c r="R18" s="888" t="s">
        <v>646</v>
      </c>
      <c r="S18" s="888"/>
      <c r="T18" s="888"/>
      <c r="U18" s="888"/>
      <c r="V18" s="888"/>
      <c r="W18" s="888"/>
      <c r="X18" s="888"/>
      <c r="Y18" s="889"/>
    </row>
    <row r="19" spans="1:25" ht="27" customHeight="1" thickBot="1">
      <c r="A19" s="455" t="s">
        <v>465</v>
      </c>
      <c r="B19" s="447"/>
      <c r="C19" s="544" t="s">
        <v>647</v>
      </c>
      <c r="D19" s="544"/>
      <c r="E19" s="447"/>
      <c r="F19" s="447"/>
      <c r="G19" s="447"/>
      <c r="H19" s="448"/>
      <c r="I19" s="448"/>
      <c r="J19" s="448"/>
      <c r="K19" s="449"/>
      <c r="L19" s="449"/>
      <c r="M19" s="450"/>
      <c r="N19" s="868"/>
      <c r="O19" s="869"/>
      <c r="P19" s="869"/>
      <c r="Q19" s="869"/>
      <c r="R19" s="890"/>
      <c r="S19" s="890"/>
      <c r="T19" s="890"/>
      <c r="U19" s="890"/>
      <c r="V19" s="890"/>
      <c r="W19" s="890"/>
      <c r="X19" s="890"/>
      <c r="Y19" s="891"/>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7" t="s">
        <v>76</v>
      </c>
      <c r="M22" s="848"/>
      <c r="N22" s="848"/>
      <c r="O22" s="848"/>
      <c r="P22" s="848"/>
      <c r="Q22" s="848"/>
      <c r="R22" s="849"/>
      <c r="S22" s="979" t="s">
        <v>77</v>
      </c>
      <c r="T22" s="979"/>
      <c r="U22" s="979"/>
      <c r="V22" s="979"/>
      <c r="W22" s="979"/>
      <c r="X22" s="979"/>
      <c r="Y22" s="979"/>
    </row>
    <row r="23" spans="1:25" ht="57" customHeight="1">
      <c r="A23" s="839" t="s">
        <v>78</v>
      </c>
      <c r="B23" s="850"/>
      <c r="C23" s="841" t="s">
        <v>648</v>
      </c>
      <c r="D23" s="842"/>
      <c r="E23" s="842"/>
      <c r="F23" s="842"/>
      <c r="G23" s="842"/>
      <c r="H23" s="842"/>
      <c r="I23" s="842"/>
      <c r="J23" s="842"/>
      <c r="K23" s="843"/>
      <c r="L23" s="841" t="s">
        <v>649</v>
      </c>
      <c r="M23" s="842"/>
      <c r="N23" s="842"/>
      <c r="O23" s="842"/>
      <c r="P23" s="842"/>
      <c r="Q23" s="842"/>
      <c r="R23" s="843"/>
      <c r="S23" s="980" t="s">
        <v>650</v>
      </c>
      <c r="T23" s="980"/>
      <c r="U23" s="980"/>
      <c r="V23" s="980"/>
      <c r="W23" s="980"/>
      <c r="X23" s="980"/>
      <c r="Y23" s="980"/>
    </row>
    <row r="24" spans="1:25" ht="90" customHeight="1">
      <c r="A24" s="844" t="s">
        <v>79</v>
      </c>
      <c r="B24" s="845"/>
      <c r="C24" s="841" t="s">
        <v>651</v>
      </c>
      <c r="D24" s="842"/>
      <c r="E24" s="842"/>
      <c r="F24" s="842"/>
      <c r="G24" s="842"/>
      <c r="H24" s="842"/>
      <c r="I24" s="842"/>
      <c r="J24" s="842"/>
      <c r="K24" s="843"/>
      <c r="L24" s="841" t="s">
        <v>652</v>
      </c>
      <c r="M24" s="842"/>
      <c r="N24" s="842"/>
      <c r="O24" s="842"/>
      <c r="P24" s="842"/>
      <c r="Q24" s="842"/>
      <c r="R24" s="843"/>
      <c r="S24" s="980" t="s">
        <v>653</v>
      </c>
      <c r="T24" s="980"/>
      <c r="U24" s="980"/>
      <c r="V24" s="980"/>
      <c r="W24" s="980"/>
      <c r="X24" s="980"/>
      <c r="Y24" s="980"/>
    </row>
    <row r="25" spans="1:25" ht="45" customHeight="1">
      <c r="A25" s="839" t="s">
        <v>81</v>
      </c>
      <c r="B25" s="840"/>
      <c r="C25" s="841" t="s">
        <v>517</v>
      </c>
      <c r="D25" s="842"/>
      <c r="E25" s="842"/>
      <c r="F25" s="842"/>
      <c r="G25" s="842"/>
      <c r="H25" s="842"/>
      <c r="I25" s="842"/>
      <c r="J25" s="842"/>
      <c r="K25" s="843"/>
      <c r="L25" s="841" t="s">
        <v>517</v>
      </c>
      <c r="M25" s="842"/>
      <c r="N25" s="842"/>
      <c r="O25" s="842"/>
      <c r="P25" s="842"/>
      <c r="Q25" s="842"/>
      <c r="R25" s="843"/>
      <c r="S25" s="980" t="s">
        <v>654</v>
      </c>
      <c r="T25" s="980"/>
      <c r="U25" s="980"/>
      <c r="V25" s="980"/>
      <c r="W25" s="980"/>
      <c r="X25" s="980"/>
      <c r="Y25" s="980"/>
    </row>
    <row r="26" spans="1:25" ht="66" customHeight="1">
      <c r="A26" s="839" t="s">
        <v>80</v>
      </c>
      <c r="B26" s="840"/>
      <c r="C26" s="841" t="s">
        <v>655</v>
      </c>
      <c r="D26" s="842"/>
      <c r="E26" s="842"/>
      <c r="F26" s="842"/>
      <c r="G26" s="842"/>
      <c r="H26" s="842"/>
      <c r="I26" s="842"/>
      <c r="J26" s="842"/>
      <c r="K26" s="843"/>
      <c r="L26" s="841" t="s">
        <v>656</v>
      </c>
      <c r="M26" s="842"/>
      <c r="N26" s="842"/>
      <c r="O26" s="842"/>
      <c r="P26" s="842"/>
      <c r="Q26" s="842"/>
      <c r="R26" s="843"/>
      <c r="S26" s="980" t="s">
        <v>657</v>
      </c>
      <c r="T26" s="980"/>
      <c r="U26" s="980"/>
      <c r="V26" s="980"/>
      <c r="W26" s="980"/>
      <c r="X26" s="980"/>
      <c r="Y26" s="980"/>
    </row>
    <row r="27" spans="1:25" ht="45" customHeight="1">
      <c r="A27" s="844" t="s">
        <v>335</v>
      </c>
      <c r="B27" s="845"/>
      <c r="C27" s="841" t="s">
        <v>658</v>
      </c>
      <c r="D27" s="842"/>
      <c r="E27" s="842"/>
      <c r="F27" s="842"/>
      <c r="G27" s="842"/>
      <c r="H27" s="842"/>
      <c r="I27" s="842"/>
      <c r="J27" s="842"/>
      <c r="K27" s="843"/>
      <c r="L27" s="841" t="s">
        <v>659</v>
      </c>
      <c r="M27" s="842"/>
      <c r="N27" s="842"/>
      <c r="O27" s="842"/>
      <c r="P27" s="842"/>
      <c r="Q27" s="842"/>
      <c r="R27" s="843"/>
      <c r="S27" s="980" t="s">
        <v>660</v>
      </c>
      <c r="T27" s="980"/>
      <c r="U27" s="980"/>
      <c r="V27" s="980"/>
      <c r="W27" s="980"/>
      <c r="X27" s="980"/>
      <c r="Y27" s="980"/>
    </row>
    <row r="30" spans="1:25">
      <c r="D30" s="394"/>
    </row>
    <row r="32" spans="1:25">
      <c r="I32" s="396"/>
      <c r="J32" s="396"/>
      <c r="K32" s="396"/>
    </row>
    <row r="33" spans="9:11" ht="15.75">
      <c r="I33" s="397"/>
      <c r="J33" s="398"/>
      <c r="K33" s="395"/>
    </row>
    <row r="34" spans="9:11">
      <c r="I34" s="396"/>
      <c r="J34" s="395"/>
    </row>
    <row r="35" spans="9:11">
      <c r="I35" s="396"/>
    </row>
  </sheetData>
  <mergeCells count="53">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64E1D-F034-4A4B-A845-AE0122471018}">
  <sheetPr>
    <tabColor theme="0"/>
  </sheetPr>
  <dimension ref="A1:Y35"/>
  <sheetViews>
    <sheetView topLeftCell="A22" zoomScale="85" zoomScaleNormal="85" workbookViewId="0">
      <selection activeCell="L5" sqref="L5:Q5"/>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662</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4) Programmer un objet</v>
      </c>
      <c r="C2" s="886"/>
      <c r="D2" s="886"/>
      <c r="E2" s="886"/>
      <c r="F2" s="886"/>
      <c r="G2" s="886"/>
      <c r="H2" s="886"/>
      <c r="I2" s="886"/>
      <c r="J2" s="886"/>
      <c r="K2" s="886"/>
      <c r="L2" s="886"/>
      <c r="M2" s="887"/>
      <c r="N2" s="407" t="str">
        <f>INDEX(Problématiques_compétences!$B$3:$D$118,MATCH(A1,Problématiques_compétences!$D$3:$D$118,0),1)</f>
        <v xml:space="preserve">Comment surveiller une zone dans une habitation ?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2.7</v>
      </c>
      <c r="B4" s="872" t="str">
        <f ca="1">INDEX(Programme!$B$4:$C$46,MATCH(A4,Programme!$B$4:$B$46,0),2)</f>
        <v>► Imaginer, concevoir et programmer des applications informatiques nomades.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DIC.1.5</v>
      </c>
      <c r="L4" s="873" t="str">
        <f ca="1">IFERROR(INDEX(Programme!$I$7:$J$94,MATCH($K4,Programme!$I$7:$I$94,0),2),"")</f>
        <v>Imaginer des solutions pour produire des objets et des éléments de programmes informatiques en réponse au besoin.</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Design. Innovation et créativité. Veille. Représentation de solutions (croquis, schémas, algorithmes). Réalité augmentée. Objets connectés.</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IP.2.2</v>
      </c>
      <c r="L5" s="879" t="str">
        <f ca="1">IFERROR(INDEX(Programme!$I$7:$J$94,MATCH($K5,Programme!$I$7:$I$94,0),2),"")</f>
        <v>Écrire, mettre au point (tester, corriger) et exécuter un programme commandant un système réel et vérifier le comportement attendu.</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4.2</v>
      </c>
      <c r="B6" s="872" t="str">
        <f ca="1">IFERROR(INDEX(Programme!$B$4:$C$46,MATCH(A6,Programme!$B$4:$B$46,0),2),"")</f>
        <v>► Appliquer les principes élémentaires de l’algorithmique et du codage à la résolution d’un problème simple.</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IP.2.3</v>
      </c>
      <c r="L6" s="873" t="str">
        <f ca="1">IFERROR(INDEX(Programme!$I$7:$J$94,MATCH($K6,Programme!$I$7:$I$94,0),2),"")</f>
        <v>Écrire un programme dans lequel des actions sont déclenchées par des événements extérieurs.</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5.4</v>
      </c>
      <c r="B8" s="872" t="str">
        <f ca="1">IFERROR(INDEX(Programme!$B$4:$C$46,MATCH(A8,Programme!$B$4:$B$46,0),2),"")</f>
        <v>► Piloter un système connecté localement ou à distance.</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IP.2.2</v>
      </c>
      <c r="L8" s="873" t="str">
        <f ca="1">IFERROR(INDEX(Programme!$I$7:$J$94,MATCH($K8,Programme!$I$7:$I$94,0),2),"")</f>
        <v>Écrire, mettre au point (tester, corriger) et exécuter un programme commandant un système réel et vérifier le comportement attendu.</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CS 5.7</v>
      </c>
      <c r="B10" s="872" t="str">
        <f ca="1">IFERROR(INDEX(Programme!$B$4:$C$46,MATCH(A10,Programme!$B$4:$B$46,0),2),"")</f>
        <v>► Analyser le comportement attendu d’un système réel et décomposer le problème posé en sous-problèmes afin de structurer un programme de commande.</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IP.2.1</v>
      </c>
      <c r="L10" s="873" t="str">
        <f ca="1">IFERROR(INDEX(Programme!$I$7:$J$94,MATCH($K10,Programme!$I$7:$I$94,0),2),"")</f>
        <v>Analyser le comportement attendu d’un système réel et décomposer le problème posé en sous-problèmes afin de structurer un programme de commande.</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663</v>
      </c>
      <c r="B13" s="852"/>
      <c r="C13" s="852"/>
      <c r="D13" s="852"/>
      <c r="E13" s="852"/>
      <c r="F13" s="852"/>
      <c r="G13" s="852"/>
      <c r="H13" s="852"/>
      <c r="I13" s="852"/>
      <c r="J13" s="852"/>
      <c r="K13" s="852"/>
      <c r="L13" s="852"/>
      <c r="M13" s="853"/>
      <c r="N13" s="857" t="s">
        <v>664</v>
      </c>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665</v>
      </c>
      <c r="B16" s="858"/>
      <c r="C16" s="858"/>
      <c r="D16" s="858"/>
      <c r="E16" s="858"/>
      <c r="F16" s="858"/>
      <c r="G16" s="858"/>
      <c r="H16" s="858"/>
      <c r="I16" s="858"/>
      <c r="J16" s="858"/>
      <c r="K16" s="858"/>
      <c r="L16" s="858"/>
      <c r="M16" s="859"/>
      <c r="N16" s="857" t="s">
        <v>666</v>
      </c>
      <c r="O16" s="858"/>
      <c r="P16" s="858"/>
      <c r="Q16" s="858"/>
      <c r="R16" s="858"/>
      <c r="S16" s="858"/>
      <c r="T16" s="858"/>
      <c r="U16" s="858"/>
      <c r="V16" s="858"/>
      <c r="W16" s="858"/>
      <c r="X16" s="858"/>
      <c r="Y16" s="859"/>
    </row>
    <row r="17" spans="1:25" ht="42"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888"/>
      <c r="F18" s="888"/>
      <c r="G18" s="888"/>
      <c r="H18" s="888"/>
      <c r="I18" s="888"/>
      <c r="J18" s="888"/>
      <c r="K18" s="888"/>
      <c r="L18" s="888"/>
      <c r="M18" s="889"/>
      <c r="N18" s="866" t="s">
        <v>382</v>
      </c>
      <c r="O18" s="867"/>
      <c r="P18" s="867"/>
      <c r="Q18" s="867"/>
      <c r="R18" s="888" t="s">
        <v>667</v>
      </c>
      <c r="S18" s="888"/>
      <c r="T18" s="888"/>
      <c r="U18" s="888"/>
      <c r="V18" s="888"/>
      <c r="W18" s="888"/>
      <c r="X18" s="888"/>
      <c r="Y18" s="889"/>
    </row>
    <row r="19" spans="1:25" ht="15.75" thickBot="1">
      <c r="A19" s="455" t="s">
        <v>465</v>
      </c>
      <c r="B19" s="447"/>
      <c r="C19" s="890"/>
      <c r="D19" s="890"/>
      <c r="E19" s="890"/>
      <c r="F19" s="890"/>
      <c r="G19" s="890"/>
      <c r="H19" s="890"/>
      <c r="I19" s="890"/>
      <c r="J19" s="890"/>
      <c r="K19" s="890"/>
      <c r="L19" s="890"/>
      <c r="M19" s="891"/>
      <c r="N19" s="868"/>
      <c r="O19" s="869"/>
      <c r="P19" s="869"/>
      <c r="Q19" s="869"/>
      <c r="R19" s="890"/>
      <c r="S19" s="890"/>
      <c r="T19" s="890"/>
      <c r="U19" s="890"/>
      <c r="V19" s="890"/>
      <c r="W19" s="890"/>
      <c r="X19" s="890"/>
      <c r="Y19" s="891"/>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668</v>
      </c>
      <c r="D23" s="842"/>
      <c r="E23" s="842"/>
      <c r="F23" s="842"/>
      <c r="G23" s="842"/>
      <c r="H23" s="842"/>
      <c r="I23" s="842"/>
      <c r="J23" s="842"/>
      <c r="K23" s="843"/>
      <c r="L23" s="842" t="s">
        <v>669</v>
      </c>
      <c r="M23" s="842"/>
      <c r="N23" s="842"/>
      <c r="O23" s="842"/>
      <c r="P23" s="842"/>
      <c r="Q23" s="842"/>
      <c r="R23" s="843"/>
      <c r="S23" s="841"/>
      <c r="T23" s="842"/>
      <c r="U23" s="842"/>
      <c r="V23" s="842"/>
      <c r="W23" s="842"/>
      <c r="X23" s="842"/>
      <c r="Y23" s="843"/>
    </row>
    <row r="24" spans="1:25" ht="127.5" customHeight="1">
      <c r="A24" s="844" t="s">
        <v>79</v>
      </c>
      <c r="B24" s="845"/>
      <c r="C24" s="841" t="s">
        <v>670</v>
      </c>
      <c r="D24" s="842"/>
      <c r="E24" s="842"/>
      <c r="F24" s="842"/>
      <c r="G24" s="842"/>
      <c r="H24" s="842"/>
      <c r="I24" s="842"/>
      <c r="J24" s="842"/>
      <c r="K24" s="843"/>
      <c r="L24" s="841" t="s">
        <v>671</v>
      </c>
      <c r="M24" s="842"/>
      <c r="N24" s="842"/>
      <c r="O24" s="842"/>
      <c r="P24" s="842"/>
      <c r="Q24" s="842"/>
      <c r="R24" s="843"/>
      <c r="S24" s="841"/>
      <c r="T24" s="842"/>
      <c r="U24" s="842"/>
      <c r="V24" s="842"/>
      <c r="W24" s="842"/>
      <c r="X24" s="842"/>
      <c r="Y24" s="843"/>
    </row>
    <row r="25" spans="1:25" ht="45" customHeight="1">
      <c r="A25" s="839" t="s">
        <v>81</v>
      </c>
      <c r="B25" s="840"/>
      <c r="C25" s="841" t="s">
        <v>517</v>
      </c>
      <c r="D25" s="842"/>
      <c r="E25" s="842"/>
      <c r="F25" s="842"/>
      <c r="G25" s="842"/>
      <c r="H25" s="842"/>
      <c r="I25" s="842"/>
      <c r="J25" s="842"/>
      <c r="K25" s="843"/>
      <c r="L25" s="841" t="s">
        <v>654</v>
      </c>
      <c r="M25" s="842"/>
      <c r="N25" s="842"/>
      <c r="O25" s="842"/>
      <c r="P25" s="842"/>
      <c r="Q25" s="842"/>
      <c r="R25" s="843"/>
      <c r="S25" s="841"/>
      <c r="T25" s="842"/>
      <c r="U25" s="842"/>
      <c r="V25" s="842"/>
      <c r="W25" s="842"/>
      <c r="X25" s="842"/>
      <c r="Y25" s="843"/>
    </row>
    <row r="26" spans="1:25" ht="45" customHeight="1">
      <c r="A26" s="839" t="s">
        <v>80</v>
      </c>
      <c r="B26" s="840"/>
      <c r="C26" s="981" t="s">
        <v>672</v>
      </c>
      <c r="D26" s="982"/>
      <c r="E26" s="982"/>
      <c r="F26" s="982"/>
      <c r="G26" s="982"/>
      <c r="H26" s="982"/>
      <c r="I26" s="982"/>
      <c r="J26" s="982"/>
      <c r="K26" s="983"/>
      <c r="L26" s="841" t="s">
        <v>673</v>
      </c>
      <c r="M26" s="842"/>
      <c r="N26" s="842"/>
      <c r="O26" s="842"/>
      <c r="P26" s="842"/>
      <c r="Q26" s="842"/>
      <c r="R26" s="843"/>
      <c r="S26" s="841"/>
      <c r="T26" s="842"/>
      <c r="U26" s="842"/>
      <c r="V26" s="842"/>
      <c r="W26" s="842"/>
      <c r="X26" s="842"/>
      <c r="Y26" s="843"/>
    </row>
    <row r="27" spans="1:25" ht="45" customHeight="1">
      <c r="A27" s="844" t="s">
        <v>335</v>
      </c>
      <c r="B27" s="845"/>
      <c r="C27" s="841" t="s">
        <v>674</v>
      </c>
      <c r="D27" s="842"/>
      <c r="E27" s="842"/>
      <c r="F27" s="842"/>
      <c r="G27" s="842"/>
      <c r="H27" s="842"/>
      <c r="I27" s="842"/>
      <c r="J27" s="842"/>
      <c r="K27" s="843"/>
      <c r="L27" s="841" t="s">
        <v>675</v>
      </c>
      <c r="M27" s="842"/>
      <c r="N27" s="842"/>
      <c r="O27" s="842"/>
      <c r="P27" s="842"/>
      <c r="Q27" s="842"/>
      <c r="R27" s="843"/>
      <c r="S27" s="841"/>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5">
    <mergeCell ref="A21:Y21"/>
    <mergeCell ref="C22:K22"/>
    <mergeCell ref="L22:R22"/>
    <mergeCell ref="S22:Y22"/>
    <mergeCell ref="A23:B23"/>
    <mergeCell ref="C23:K23"/>
    <mergeCell ref="L23:R23"/>
    <mergeCell ref="S23:Y23"/>
    <mergeCell ref="A27:B27"/>
    <mergeCell ref="C27:K27"/>
    <mergeCell ref="L27:R27"/>
    <mergeCell ref="S27:Y27"/>
    <mergeCell ref="A24:B24"/>
    <mergeCell ref="C24:K24"/>
    <mergeCell ref="L24:R24"/>
    <mergeCell ref="S24:Y24"/>
    <mergeCell ref="A25:B25"/>
    <mergeCell ref="C25:K25"/>
    <mergeCell ref="L25:R25"/>
    <mergeCell ref="S25:Y25"/>
    <mergeCell ref="A26:B26"/>
    <mergeCell ref="C26:K26"/>
    <mergeCell ref="L26:R26"/>
    <mergeCell ref="S26:Y26"/>
    <mergeCell ref="A13:M14"/>
    <mergeCell ref="N13:Y14"/>
    <mergeCell ref="A16:M17"/>
    <mergeCell ref="N16:Y17"/>
    <mergeCell ref="N18:Q19"/>
    <mergeCell ref="E18:M18"/>
    <mergeCell ref="R18:Y19"/>
    <mergeCell ref="C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4EFE2-9A79-462A-AE01-15F11F0D83D1}">
  <sheetPr>
    <tabColor theme="0"/>
  </sheetPr>
  <dimension ref="A1:Y35"/>
  <sheetViews>
    <sheetView topLeftCell="A21" zoomScale="85" zoomScaleNormal="85" workbookViewId="0">
      <selection activeCell="S26" sqref="S26:Y26"/>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677</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3) Assurer le confort dans un milieu urbain</v>
      </c>
      <c r="C2" s="886"/>
      <c r="D2" s="886"/>
      <c r="E2" s="886"/>
      <c r="F2" s="886"/>
      <c r="G2" s="886"/>
      <c r="H2" s="886"/>
      <c r="I2" s="886"/>
      <c r="J2" s="886"/>
      <c r="K2" s="886"/>
      <c r="L2" s="886"/>
      <c r="M2" s="887"/>
      <c r="N2" s="407" t="str">
        <f>INDEX(Problématiques_compétences!$B$3:$D$118,MATCH(A1,Problématiques_compétences!$D$3:$D$118,0),1)</f>
        <v>Comment une alarme intéragit avec son environnement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1.1</v>
      </c>
      <c r="B4" s="872" t="str">
        <f ca="1">INDEX(Programme!$B$4:$C$46,MATCH(A4,Programme!$B$4:$B$46,0),2)</f>
        <v xml:space="preserve">► Imaginer, synthétiser, formaliser et respecter une procédure, un protocole. </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DIC.1.3</v>
      </c>
      <c r="L4" s="873" t="str">
        <f ca="1">IFERROR(INDEX(Programme!$I$7:$J$94,MATCH($K4,Programme!$I$7:$I$94,0),2),"")</f>
        <v xml:space="preserve">Imaginer, synthétiser et formaliser une procédure, un protocole. </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Outils numériques de présentation. Charte graphique.</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MSOST.1.1</v>
      </c>
      <c r="L5" s="879" t="str">
        <f ca="1">IFERROR(INDEX(Programme!$I$7:$J$94,MATCH($K5,Programme!$I$7:$I$94,0),2),"")</f>
        <v>Respecter une procédure de travail garantissant un résultat en respectant les règles de sécurité et d’utilisation des outils mis à disposition.</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Procédures, protocoles. Ergonomie.</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1.2</v>
      </c>
      <c r="B6" s="872" t="str">
        <f ca="1">IFERROR(INDEX(Programme!$B$4:$C$46,MATCH(A6,Programme!$B$4:$B$46,0),2),"")</f>
        <v xml:space="preserve">► Mesurer des grandeurs de manière directe ou indirecte. </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MSOST.1.6</v>
      </c>
      <c r="L6" s="873" t="str">
        <f ca="1">IFERROR(INDEX(Programme!$I$7:$J$94,MATCH($K6,Programme!$I$7:$I$94,0),2),"")</f>
        <v xml:space="preserve">Mesurer des grandeurs de manière directe ou indirecte. </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Instruments de mesure usuels. Principe de fonctionnement d’un capteur, d’un codeur, d’un détecteur. Nature du signal : analogique ou numérique. Nature d’une information : logique ou analogique.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CS 1.8</v>
      </c>
      <c r="B8" s="872" t="str">
        <f ca="1">IFERROR(INDEX(Programme!$B$4:$C$46,MATCH(A8,Programme!$B$4:$B$46,0),2),"")</f>
        <v>► Utiliser une modélisation pour comprendre, formaliser, partager, construire, investiguer, prouver.</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MSOST.2.1</v>
      </c>
      <c r="L8" s="873" t="str">
        <f ca="1">IFERROR(INDEX(Programme!$I$7:$J$94,MATCH($K8,Programme!$I$7:$I$94,0),2),"")</f>
        <v>Utiliser une modélisation pour comprendre, formaliser, partager, construire, investiguer, prouver.</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xml:space="preserve">Outils de description d’un fonctionnement, d’une structure et d’un comportement.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2.4</v>
      </c>
      <c r="B10" s="872" t="str">
        <f ca="1">IFERROR(INDEX(Programme!$B$4:$C$46,MATCH(A10,Programme!$B$4:$B$46,0),2),"")</f>
        <v>► Associer des solutions techniques à des fonctions.</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MSOST.1.2</v>
      </c>
      <c r="L10" s="873" t="str">
        <f ca="1">IFERROR(INDEX(Programme!$I$7:$J$94,MATCH($K10,Programme!$I$7:$I$94,0),2),"")</f>
        <v>Associer des solutions techniques à des fonctions.</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Analyse fonctionnelle systémique.</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678</v>
      </c>
      <c r="B13" s="852"/>
      <c r="C13" s="852"/>
      <c r="D13" s="852"/>
      <c r="E13" s="852"/>
      <c r="F13" s="852"/>
      <c r="G13" s="852"/>
      <c r="H13" s="852"/>
      <c r="I13" s="852"/>
      <c r="J13" s="852"/>
      <c r="K13" s="852"/>
      <c r="L13" s="852"/>
      <c r="M13" s="853"/>
      <c r="N13" s="857" t="s">
        <v>679</v>
      </c>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680</v>
      </c>
      <c r="B16" s="858"/>
      <c r="C16" s="858"/>
      <c r="D16" s="858"/>
      <c r="E16" s="858"/>
      <c r="F16" s="858"/>
      <c r="G16" s="858"/>
      <c r="H16" s="858"/>
      <c r="I16" s="858"/>
      <c r="J16" s="858"/>
      <c r="K16" s="858"/>
      <c r="L16" s="858"/>
      <c r="M16" s="859"/>
      <c r="N16" s="857" t="s">
        <v>681</v>
      </c>
      <c r="O16" s="858"/>
      <c r="P16" s="858"/>
      <c r="Q16" s="858"/>
      <c r="R16" s="858"/>
      <c r="S16" s="858"/>
      <c r="T16" s="858"/>
      <c r="U16" s="858"/>
      <c r="V16" s="858"/>
      <c r="W16" s="858"/>
      <c r="X16" s="858"/>
      <c r="Y16" s="859"/>
    </row>
    <row r="17" spans="1:25" ht="30"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c r="G18" s="434"/>
      <c r="H18" s="434"/>
      <c r="I18" s="434"/>
      <c r="J18" s="434"/>
      <c r="K18" s="433"/>
      <c r="L18" s="431"/>
      <c r="M18" s="446"/>
      <c r="N18" s="866" t="s">
        <v>382</v>
      </c>
      <c r="O18" s="867"/>
      <c r="P18" s="867"/>
      <c r="Q18" s="867"/>
      <c r="R18" s="870"/>
      <c r="S18" s="870"/>
      <c r="T18" s="870"/>
      <c r="U18" s="870"/>
      <c r="V18" s="870"/>
      <c r="W18" s="870"/>
      <c r="X18" s="870"/>
      <c r="Y18" s="871"/>
    </row>
    <row r="19" spans="1:25" ht="15.75" thickBot="1">
      <c r="A19" s="455" t="s">
        <v>465</v>
      </c>
      <c r="B19" s="447"/>
      <c r="C19" s="447"/>
      <c r="D19" s="447"/>
      <c r="E19" s="447"/>
      <c r="F19" s="447"/>
      <c r="G19" s="447" t="s">
        <v>682</v>
      </c>
      <c r="H19" s="448"/>
      <c r="I19" s="448"/>
      <c r="J19" s="448"/>
      <c r="K19" s="449"/>
      <c r="L19" s="449"/>
      <c r="M19" s="450"/>
      <c r="N19" s="868"/>
      <c r="O19" s="869"/>
      <c r="P19" s="869"/>
      <c r="Q19" s="869"/>
      <c r="R19" s="864"/>
      <c r="S19" s="864"/>
      <c r="T19" s="864"/>
      <c r="U19" s="864"/>
      <c r="V19" s="892"/>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7" t="s">
        <v>76</v>
      </c>
      <c r="M22" s="848"/>
      <c r="N22" s="848"/>
      <c r="O22" s="848"/>
      <c r="P22" s="848"/>
      <c r="Q22" s="848"/>
      <c r="R22" s="849"/>
      <c r="S22" s="847" t="s">
        <v>77</v>
      </c>
      <c r="T22" s="848"/>
      <c r="U22" s="848"/>
      <c r="V22" s="848"/>
      <c r="W22" s="848"/>
      <c r="X22" s="848"/>
      <c r="Y22" s="849"/>
    </row>
    <row r="23" spans="1:25" ht="33.75" customHeight="1">
      <c r="A23" s="839" t="s">
        <v>78</v>
      </c>
      <c r="B23" s="840"/>
      <c r="C23" s="841" t="s">
        <v>683</v>
      </c>
      <c r="D23" s="842"/>
      <c r="E23" s="842"/>
      <c r="F23" s="842"/>
      <c r="G23" s="842"/>
      <c r="H23" s="842"/>
      <c r="I23" s="842"/>
      <c r="J23" s="842"/>
      <c r="K23" s="843"/>
      <c r="L23" s="841" t="s">
        <v>684</v>
      </c>
      <c r="M23" s="842"/>
      <c r="N23" s="842"/>
      <c r="O23" s="842"/>
      <c r="P23" s="842"/>
      <c r="Q23" s="842"/>
      <c r="R23" s="843"/>
      <c r="S23" s="841" t="s">
        <v>685</v>
      </c>
      <c r="T23" s="842"/>
      <c r="U23" s="842"/>
      <c r="V23" s="842"/>
      <c r="W23" s="842"/>
      <c r="X23" s="842"/>
      <c r="Y23" s="843"/>
    </row>
    <row r="24" spans="1:25" ht="45" customHeight="1">
      <c r="A24" s="844" t="s">
        <v>79</v>
      </c>
      <c r="B24" s="845"/>
      <c r="C24" s="841" t="s">
        <v>686</v>
      </c>
      <c r="D24" s="842"/>
      <c r="E24" s="842"/>
      <c r="F24" s="842"/>
      <c r="G24" s="842"/>
      <c r="H24" s="842"/>
      <c r="I24" s="842"/>
      <c r="J24" s="842"/>
      <c r="K24" s="843"/>
      <c r="L24" s="841" t="s">
        <v>687</v>
      </c>
      <c r="M24" s="842"/>
      <c r="N24" s="842"/>
      <c r="O24" s="842"/>
      <c r="P24" s="842"/>
      <c r="Q24" s="842"/>
      <c r="R24" s="843"/>
      <c r="S24" s="841" t="s">
        <v>688</v>
      </c>
      <c r="T24" s="842"/>
      <c r="U24" s="842"/>
      <c r="V24" s="842"/>
      <c r="W24" s="842"/>
      <c r="X24" s="842"/>
      <c r="Y24" s="843"/>
    </row>
    <row r="25" spans="1:25" ht="45" customHeight="1">
      <c r="A25" s="839" t="s">
        <v>81</v>
      </c>
      <c r="B25" s="840"/>
      <c r="C25" s="841" t="s">
        <v>537</v>
      </c>
      <c r="D25" s="842"/>
      <c r="E25" s="842"/>
      <c r="F25" s="842"/>
      <c r="G25" s="842"/>
      <c r="H25" s="842"/>
      <c r="I25" s="842"/>
      <c r="J25" s="842"/>
      <c r="K25" s="843"/>
      <c r="L25" s="841" t="s">
        <v>689</v>
      </c>
      <c r="M25" s="842"/>
      <c r="N25" s="842"/>
      <c r="O25" s="842"/>
      <c r="P25" s="842"/>
      <c r="Q25" s="842"/>
      <c r="R25" s="843"/>
      <c r="S25" s="841" t="s">
        <v>690</v>
      </c>
      <c r="T25" s="842"/>
      <c r="U25" s="842"/>
      <c r="V25" s="842"/>
      <c r="W25" s="842"/>
      <c r="X25" s="842"/>
      <c r="Y25" s="843"/>
    </row>
    <row r="26" spans="1:25" ht="45" customHeight="1">
      <c r="A26" s="839" t="s">
        <v>80</v>
      </c>
      <c r="B26" s="840"/>
      <c r="C26" s="841" t="s">
        <v>691</v>
      </c>
      <c r="D26" s="842"/>
      <c r="E26" s="842"/>
      <c r="F26" s="842"/>
      <c r="G26" s="842"/>
      <c r="H26" s="842"/>
      <c r="I26" s="842"/>
      <c r="J26" s="842"/>
      <c r="K26" s="843"/>
      <c r="L26" s="841" t="s">
        <v>692</v>
      </c>
      <c r="M26" s="842"/>
      <c r="N26" s="842"/>
      <c r="O26" s="842"/>
      <c r="P26" s="842"/>
      <c r="Q26" s="842"/>
      <c r="R26" s="843"/>
      <c r="S26" s="841" t="s">
        <v>693</v>
      </c>
      <c r="T26" s="842"/>
      <c r="U26" s="842"/>
      <c r="V26" s="842"/>
      <c r="W26" s="842"/>
      <c r="X26" s="842"/>
      <c r="Y26" s="843"/>
    </row>
    <row r="27" spans="1:25" ht="45" customHeight="1">
      <c r="A27" s="844" t="s">
        <v>335</v>
      </c>
      <c r="B27" s="845"/>
      <c r="C27" s="841" t="s">
        <v>694</v>
      </c>
      <c r="D27" s="842"/>
      <c r="E27" s="842"/>
      <c r="F27" s="842"/>
      <c r="G27" s="842"/>
      <c r="H27" s="842"/>
      <c r="I27" s="842"/>
      <c r="J27" s="842"/>
      <c r="K27" s="843"/>
      <c r="L27" s="841" t="s">
        <v>695</v>
      </c>
      <c r="M27" s="842"/>
      <c r="N27" s="842"/>
      <c r="O27" s="842"/>
      <c r="P27" s="842"/>
      <c r="Q27" s="842"/>
      <c r="R27" s="843"/>
      <c r="S27" s="841" t="s">
        <v>696</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F7C64-24A5-498B-8CEE-3D69B7D77A77}">
  <sheetPr>
    <tabColor theme="0"/>
  </sheetPr>
  <dimension ref="A1:Y35"/>
  <sheetViews>
    <sheetView zoomScale="85" zoomScaleNormal="85" workbookViewId="0">
      <selection sqref="A1:A2"/>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699</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PROJET N°2  : Adapter un éclairage public.</v>
      </c>
      <c r="C2" s="886"/>
      <c r="D2" s="886"/>
      <c r="E2" s="886"/>
      <c r="F2" s="886"/>
      <c r="G2" s="886"/>
      <c r="H2" s="886"/>
      <c r="I2" s="886"/>
      <c r="J2" s="886"/>
      <c r="K2" s="886"/>
      <c r="L2" s="886"/>
      <c r="M2" s="887"/>
      <c r="N2" s="407" t="str">
        <f>INDEX(Problématiques_compétences!$B$3:$D$118,MATCH(A1,Problématiques_compétences!$D$3:$D$118,0),1)</f>
        <v xml:space="preserve"> Comment adapter un éclairage urbain dans son contexte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2.1</v>
      </c>
      <c r="B4" s="872" t="str">
        <f ca="1">INDEX(Programme!$B$4:$C$46,MATCH(A4,Programme!$B$4:$B$46,0),2)</f>
        <v>► Identifier un besoin et énoncer un problème technique, identifier les conditions, contraintes (normes et règlements) et ressources correspondantes.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DIC.1.1</v>
      </c>
      <c r="L4" s="873" t="str">
        <f ca="1">IFERROR(INDEX(Programme!$I$7:$J$94,MATCH($K4,Programme!$I$7:$I$94,0),2),"")</f>
        <v>Identifier un besoin (biens matériels ou services) et énoncer un problème technique.</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 xml:space="preserve">Besoin, contraintes, normalisation. </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DIC.1.2</v>
      </c>
      <c r="L5" s="879" t="str">
        <f ca="1">IFERROR(INDEX(Programme!$I$7:$J$94,MATCH($K5,Programme!$I$7:$I$94,0),2),"")</f>
        <v>Identifier les conditions, contraintes (normes et règlements) et ressources correspondantes, qualifier et quantifier simplement les performances d’un objet technique existant ou à créer.</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xml:space="preserve">Principaux éléments d’un cahier des charges.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2.3</v>
      </c>
      <c r="B6" s="872" t="str">
        <f ca="1">IFERROR(INDEX(Programme!$B$4:$C$46,MATCH(A6,Programme!$B$4:$B$46,0),2),"")</f>
        <v>► S’approprier un cahier des charges.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DIC.1.2</v>
      </c>
      <c r="L6" s="873" t="str">
        <f ca="1">IFERROR(INDEX(Programme!$I$7:$J$94,MATCH($K6,Programme!$I$7:$I$94,0),2),"")</f>
        <v>Identifier les conditions, contraintes (normes et règlements) et ressources correspondantes, qualifier et quantifier simplement les performances d’un objet technique existant ou à créer.</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xml:space="preserve">Principaux éléments d’un cahier des charges. </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4.1</v>
      </c>
      <c r="B8" s="872" t="str">
        <f ca="1">IFERROR(INDEX(Programme!$B$4:$C$46,MATCH(A8,Programme!$B$4:$B$46,0),2),"")</f>
        <v>► Décrire, en utilisant les outils et langages de descriptions adaptés, la structure et le comportement des objets.</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OTSCIS.1.4</v>
      </c>
      <c r="L8" s="873" t="str">
        <f ca="1">IFERROR(INDEX(Programme!$I$7:$J$94,MATCH($K8,Programme!$I$7:$I$94,0),2),"")</f>
        <v>Élaborer un document qui synthétise ces comparaisons et ces commentaires.</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Outils numériques de présentation. Charte graphique.</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MSOST.1.5</v>
      </c>
      <c r="L9" s="879" t="str">
        <f ca="1">IFERROR(INDEX(Programme!$I$7:$J$94,MATCH($K9,Programme!$I$7:$I$94,0),2),"")</f>
        <v>Décrire, en utilisant les outils et langages de descriptions adaptés, le fonctionnement, la structure et le comportement des objets.</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Outils de description d’un fonctionnement, d’une structure et d’un comportement.</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6.1</v>
      </c>
      <c r="B10" s="872" t="str">
        <f ca="1">IFERROR(INDEX(Programme!$B$4:$C$46,MATCH(A10,Programme!$B$4:$B$46,0),2),"")</f>
        <v>► Développer les bonnes pratiques de l’usage des objets communicants.</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OTSCIS.1.3</v>
      </c>
      <c r="L10" s="873" t="str">
        <f ca="1">IFERROR(INDEX(Programme!$I$7:$J$94,MATCH($K10,Programme!$I$7:$I$94,0),2),"")</f>
        <v>Comparer et commenter les évolutions des objets en articulant différents points de vue : fonctionnel, structurel, environnemental, technique, scientifique, social, historique, économique.</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58" t="s">
        <v>70</v>
      </c>
      <c r="B12" s="531"/>
      <c r="C12" s="531"/>
      <c r="D12" s="531"/>
      <c r="E12" s="531"/>
      <c r="F12" s="531"/>
      <c r="G12" s="531"/>
      <c r="H12" s="531"/>
      <c r="I12" s="531"/>
      <c r="J12" s="531"/>
      <c r="K12" s="430"/>
      <c r="L12" s="460"/>
      <c r="M12" s="432"/>
      <c r="N12" s="461" t="s">
        <v>72</v>
      </c>
      <c r="O12" s="462"/>
      <c r="P12" s="462"/>
      <c r="Q12" s="462"/>
      <c r="R12" s="462"/>
      <c r="S12" s="462"/>
      <c r="T12" s="462"/>
      <c r="U12" s="462"/>
      <c r="V12" s="462"/>
      <c r="W12" s="462"/>
      <c r="X12" s="462"/>
      <c r="Y12" s="463"/>
    </row>
    <row r="13" spans="1:25" ht="30.75" customHeight="1">
      <c r="A13" s="894" t="s">
        <v>702</v>
      </c>
      <c r="B13" s="894"/>
      <c r="C13" s="894"/>
      <c r="D13" s="894"/>
      <c r="E13" s="894"/>
      <c r="F13" s="894"/>
      <c r="G13" s="894"/>
      <c r="H13" s="894"/>
      <c r="I13" s="894"/>
      <c r="J13" s="894"/>
      <c r="K13" s="894"/>
      <c r="L13" s="894"/>
      <c r="M13" s="894"/>
      <c r="N13" s="894" t="s">
        <v>703</v>
      </c>
      <c r="O13" s="894"/>
      <c r="P13" s="894"/>
      <c r="Q13" s="894"/>
      <c r="R13" s="894"/>
      <c r="S13" s="894"/>
      <c r="T13" s="894"/>
      <c r="U13" s="894"/>
      <c r="V13" s="894"/>
      <c r="W13" s="894"/>
      <c r="X13" s="894"/>
      <c r="Y13" s="894"/>
    </row>
    <row r="14" spans="1:25" ht="30.75" customHeight="1">
      <c r="A14" s="894"/>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row>
    <row r="15" spans="1:25" ht="16.5" customHeight="1">
      <c r="A15" s="464" t="s">
        <v>376</v>
      </c>
      <c r="B15" s="532"/>
      <c r="C15" s="533"/>
      <c r="D15" s="533"/>
      <c r="E15" s="533"/>
      <c r="F15" s="533"/>
      <c r="G15" s="533"/>
      <c r="H15" s="533"/>
      <c r="I15" s="533"/>
      <c r="J15" s="533"/>
      <c r="K15" s="439"/>
      <c r="L15" s="467"/>
      <c r="M15" s="441"/>
      <c r="N15" s="468" t="s">
        <v>377</v>
      </c>
      <c r="O15" s="469"/>
      <c r="P15" s="469"/>
      <c r="Q15" s="469"/>
      <c r="R15" s="469"/>
      <c r="S15" s="469"/>
      <c r="T15" s="469"/>
      <c r="U15" s="469"/>
      <c r="V15" s="469"/>
      <c r="W15" s="469"/>
      <c r="X15" s="469"/>
      <c r="Y15" s="470"/>
    </row>
    <row r="16" spans="1:25" ht="30" customHeight="1" thickBot="1">
      <c r="A16" s="895" t="s">
        <v>704</v>
      </c>
      <c r="B16" s="895"/>
      <c r="C16" s="895"/>
      <c r="D16" s="895"/>
      <c r="E16" s="895"/>
      <c r="F16" s="895"/>
      <c r="G16" s="895"/>
      <c r="H16" s="895"/>
      <c r="I16" s="895"/>
      <c r="J16" s="895"/>
      <c r="K16" s="895"/>
      <c r="L16" s="895"/>
      <c r="M16" s="895"/>
      <c r="N16" s="895" t="s">
        <v>705</v>
      </c>
      <c r="O16" s="895"/>
      <c r="P16" s="895"/>
      <c r="Q16" s="895"/>
      <c r="R16" s="895"/>
      <c r="S16" s="895"/>
      <c r="T16" s="895"/>
      <c r="U16" s="895"/>
      <c r="V16" s="895"/>
      <c r="W16" s="895"/>
      <c r="X16" s="895"/>
      <c r="Y16" s="895"/>
    </row>
    <row r="17" spans="1:25" ht="39.75" customHeight="1" thickBot="1">
      <c r="A17" s="895"/>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row>
    <row r="18" spans="1:25" ht="16.5" customHeight="1" thickBot="1">
      <c r="A18" s="471" t="s">
        <v>73</v>
      </c>
      <c r="B18" s="462"/>
      <c r="C18" s="462"/>
      <c r="D18" s="462"/>
      <c r="E18" s="545"/>
      <c r="F18" s="939" t="s">
        <v>706</v>
      </c>
      <c r="G18" s="939"/>
      <c r="H18" s="939"/>
      <c r="I18" s="939"/>
      <c r="J18" s="939"/>
      <c r="K18" s="939"/>
      <c r="L18" s="939"/>
      <c r="M18" s="939"/>
      <c r="N18" s="896" t="s">
        <v>382</v>
      </c>
      <c r="O18" s="896"/>
      <c r="P18" s="896"/>
      <c r="Q18" s="896"/>
      <c r="R18" s="984" t="s">
        <v>707</v>
      </c>
      <c r="S18" s="984"/>
      <c r="T18" s="984"/>
      <c r="U18" s="984"/>
      <c r="V18" s="984"/>
      <c r="W18" s="984"/>
      <c r="X18" s="984"/>
      <c r="Y18" s="984"/>
    </row>
    <row r="19" spans="1:25" ht="15.75" thickBot="1">
      <c r="A19" s="546" t="s">
        <v>465</v>
      </c>
      <c r="B19" s="547"/>
      <c r="C19" s="985"/>
      <c r="D19" s="985"/>
      <c r="E19" s="985"/>
      <c r="F19" s="985"/>
      <c r="G19" s="985"/>
      <c r="H19" s="985"/>
      <c r="I19" s="985"/>
      <c r="J19" s="985"/>
      <c r="K19" s="985"/>
      <c r="L19" s="985"/>
      <c r="M19" s="985"/>
      <c r="N19" s="896"/>
      <c r="O19" s="896"/>
      <c r="P19" s="896"/>
      <c r="Q19" s="896"/>
      <c r="R19" s="984"/>
      <c r="S19" s="984"/>
      <c r="T19" s="984"/>
      <c r="U19" s="984"/>
      <c r="V19" s="984"/>
      <c r="W19" s="984"/>
      <c r="X19" s="984"/>
      <c r="Y19" s="984"/>
    </row>
    <row r="20" spans="1:25">
      <c r="A20" s="477"/>
      <c r="B20" s="469"/>
      <c r="C20" s="469"/>
      <c r="D20" s="469"/>
      <c r="E20" s="469"/>
      <c r="F20" s="469"/>
      <c r="G20" s="469"/>
      <c r="H20" s="439"/>
      <c r="I20" s="439"/>
      <c r="J20" s="439"/>
      <c r="K20" s="478"/>
      <c r="L20" s="478"/>
      <c r="M20" s="478"/>
      <c r="N20" s="478"/>
      <c r="O20" s="534"/>
      <c r="P20" s="534"/>
      <c r="Q20" s="534"/>
      <c r="R20" s="534"/>
      <c r="S20" s="534"/>
      <c r="T20" s="534"/>
      <c r="U20" s="534"/>
      <c r="V20" s="534"/>
      <c r="W20" s="534"/>
      <c r="X20" s="534"/>
      <c r="Y20" s="534"/>
    </row>
    <row r="21" spans="1:25" ht="15.75">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86" t="s">
        <v>708</v>
      </c>
      <c r="D22" s="987"/>
      <c r="E22" s="987"/>
      <c r="F22" s="987"/>
      <c r="G22" s="987"/>
      <c r="H22" s="987"/>
      <c r="I22" s="987"/>
      <c r="J22" s="987"/>
      <c r="K22" s="987"/>
      <c r="L22" s="987"/>
      <c r="M22" s="987"/>
      <c r="N22" s="987"/>
      <c r="O22" s="987"/>
      <c r="P22" s="987"/>
      <c r="Q22" s="987"/>
      <c r="R22" s="903"/>
      <c r="S22" s="902" t="s">
        <v>77</v>
      </c>
      <c r="T22" s="902"/>
      <c r="U22" s="902"/>
      <c r="V22" s="902"/>
      <c r="W22" s="902"/>
      <c r="X22" s="902"/>
      <c r="Y22" s="902"/>
    </row>
    <row r="23" spans="1:25" ht="33.75" customHeight="1">
      <c r="A23" s="904" t="s">
        <v>78</v>
      </c>
      <c r="B23" s="904"/>
      <c r="C23" s="988" t="s">
        <v>709</v>
      </c>
      <c r="D23" s="989"/>
      <c r="E23" s="989"/>
      <c r="F23" s="989"/>
      <c r="G23" s="989"/>
      <c r="H23" s="989"/>
      <c r="I23" s="989"/>
      <c r="J23" s="989"/>
      <c r="K23" s="989"/>
      <c r="L23" s="989"/>
      <c r="M23" s="989"/>
      <c r="N23" s="989"/>
      <c r="O23" s="989"/>
      <c r="P23" s="989"/>
      <c r="Q23" s="989"/>
      <c r="R23" s="906"/>
      <c r="S23" s="905" t="s">
        <v>710</v>
      </c>
      <c r="T23" s="905"/>
      <c r="U23" s="905"/>
      <c r="V23" s="905"/>
      <c r="W23" s="905"/>
      <c r="X23" s="905"/>
      <c r="Y23" s="905"/>
    </row>
    <row r="24" spans="1:25" ht="327.75" customHeight="1">
      <c r="A24" s="907" t="s">
        <v>79</v>
      </c>
      <c r="B24" s="907"/>
      <c r="C24" s="990" t="s">
        <v>711</v>
      </c>
      <c r="D24" s="991"/>
      <c r="E24" s="991"/>
      <c r="F24" s="991"/>
      <c r="G24" s="991"/>
      <c r="H24" s="991"/>
      <c r="I24" s="991"/>
      <c r="J24" s="991"/>
      <c r="K24" s="991"/>
      <c r="L24" s="991"/>
      <c r="M24" s="991"/>
      <c r="N24" s="991"/>
      <c r="O24" s="991"/>
      <c r="P24" s="991"/>
      <c r="Q24" s="991"/>
      <c r="R24" s="992"/>
      <c r="S24" s="942" t="s">
        <v>712</v>
      </c>
      <c r="T24" s="942"/>
      <c r="U24" s="942"/>
      <c r="V24" s="942"/>
      <c r="W24" s="942"/>
      <c r="X24" s="942"/>
      <c r="Y24" s="942"/>
    </row>
    <row r="25" spans="1:25" ht="45" customHeight="1">
      <c r="A25" s="908" t="s">
        <v>81</v>
      </c>
      <c r="B25" s="908"/>
      <c r="C25" s="905" t="s">
        <v>713</v>
      </c>
      <c r="D25" s="905"/>
      <c r="E25" s="905"/>
      <c r="F25" s="905"/>
      <c r="G25" s="905"/>
      <c r="H25" s="905"/>
      <c r="I25" s="905"/>
      <c r="J25" s="905"/>
      <c r="K25" s="905"/>
      <c r="L25" s="905" t="s">
        <v>714</v>
      </c>
      <c r="M25" s="905"/>
      <c r="N25" s="905"/>
      <c r="O25" s="905"/>
      <c r="P25" s="905"/>
      <c r="Q25" s="905"/>
      <c r="R25" s="905"/>
      <c r="S25" s="905" t="s">
        <v>517</v>
      </c>
      <c r="T25" s="905"/>
      <c r="U25" s="905"/>
      <c r="V25" s="905"/>
      <c r="W25" s="905"/>
      <c r="X25" s="905"/>
      <c r="Y25" s="905"/>
    </row>
    <row r="26" spans="1:25" ht="45" customHeight="1">
      <c r="A26" s="908" t="s">
        <v>80</v>
      </c>
      <c r="B26" s="908"/>
      <c r="C26" s="905" t="s">
        <v>715</v>
      </c>
      <c r="D26" s="905"/>
      <c r="E26" s="905"/>
      <c r="F26" s="905"/>
      <c r="G26" s="905"/>
      <c r="H26" s="905"/>
      <c r="I26" s="905"/>
      <c r="J26" s="905"/>
      <c r="K26" s="905"/>
      <c r="L26" s="905" t="s">
        <v>716</v>
      </c>
      <c r="M26" s="905"/>
      <c r="N26" s="905"/>
      <c r="O26" s="905"/>
      <c r="P26" s="905"/>
      <c r="Q26" s="905"/>
      <c r="R26" s="905"/>
      <c r="S26" s="905" t="s">
        <v>717</v>
      </c>
      <c r="T26" s="905"/>
      <c r="U26" s="905"/>
      <c r="V26" s="905"/>
      <c r="W26" s="905"/>
      <c r="X26" s="905"/>
      <c r="Y26" s="905"/>
    </row>
    <row r="27" spans="1:25" ht="45" customHeight="1">
      <c r="A27" s="907" t="s">
        <v>542</v>
      </c>
      <c r="B27" s="907"/>
      <c r="C27" s="905" t="s">
        <v>718</v>
      </c>
      <c r="D27" s="905"/>
      <c r="E27" s="905"/>
      <c r="F27" s="905"/>
      <c r="G27" s="905"/>
      <c r="H27" s="905"/>
      <c r="I27" s="905"/>
      <c r="J27" s="905"/>
      <c r="K27" s="905"/>
      <c r="L27" s="905" t="s">
        <v>719</v>
      </c>
      <c r="M27" s="905"/>
      <c r="N27" s="905"/>
      <c r="O27" s="905"/>
      <c r="P27" s="905"/>
      <c r="Q27" s="905"/>
      <c r="R27" s="905"/>
      <c r="S27" s="905" t="s">
        <v>720</v>
      </c>
      <c r="T27" s="905"/>
      <c r="U27" s="905"/>
      <c r="V27" s="905"/>
      <c r="W27" s="905"/>
      <c r="X27" s="905"/>
      <c r="Y27" s="905"/>
    </row>
    <row r="30" spans="1:25">
      <c r="D30" s="394"/>
    </row>
    <row r="32" spans="1:25">
      <c r="I32" s="396"/>
      <c r="J32" s="396"/>
      <c r="K32" s="396"/>
    </row>
    <row r="33" spans="9:11" ht="15.75">
      <c r="I33" s="397"/>
      <c r="J33" s="398"/>
      <c r="K33" s="395"/>
    </row>
    <row r="34" spans="9:11">
      <c r="I34" s="396"/>
      <c r="J34" s="395"/>
    </row>
    <row r="35" spans="9:11">
      <c r="I35" s="396"/>
    </row>
  </sheetData>
  <mergeCells count="52">
    <mergeCell ref="S22:Y22"/>
    <mergeCell ref="A23:B23"/>
    <mergeCell ref="S23:Y23"/>
    <mergeCell ref="A24:B24"/>
    <mergeCell ref="S24:Y24"/>
    <mergeCell ref="A26:B26"/>
    <mergeCell ref="C26:K26"/>
    <mergeCell ref="L26:R26"/>
    <mergeCell ref="S26:Y26"/>
    <mergeCell ref="A27:B27"/>
    <mergeCell ref="C27:K27"/>
    <mergeCell ref="L27:R27"/>
    <mergeCell ref="S27:Y27"/>
    <mergeCell ref="A25:B25"/>
    <mergeCell ref="C25:K25"/>
    <mergeCell ref="L25:R25"/>
    <mergeCell ref="S25:Y25"/>
    <mergeCell ref="A13:M14"/>
    <mergeCell ref="N13:Y14"/>
    <mergeCell ref="A16:M17"/>
    <mergeCell ref="N16:Y17"/>
    <mergeCell ref="N18:Q19"/>
    <mergeCell ref="F18:M18"/>
    <mergeCell ref="R18:Y19"/>
    <mergeCell ref="C19:M19"/>
    <mergeCell ref="C22:R22"/>
    <mergeCell ref="C23:R23"/>
    <mergeCell ref="C24:R24"/>
    <mergeCell ref="A21:Y21"/>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O63"/>
  <sheetViews>
    <sheetView zoomScaleNormal="100" workbookViewId="0">
      <selection activeCell="B29" sqref="B29"/>
    </sheetView>
  </sheetViews>
  <sheetFormatPr baseColWidth="10" defaultRowHeight="15"/>
  <cols>
    <col min="2" max="2" width="14.28515625" customWidth="1"/>
  </cols>
  <sheetData>
    <row r="1" spans="2:6" ht="15.75" thickBot="1"/>
    <row r="2" spans="2:6" ht="15.75" thickBot="1">
      <c r="B2" s="670" t="s">
        <v>417</v>
      </c>
      <c r="C2" s="671"/>
      <c r="D2" s="671"/>
      <c r="E2" s="671"/>
      <c r="F2" s="672"/>
    </row>
    <row r="3" spans="2:6">
      <c r="B3" s="277"/>
      <c r="C3" s="277"/>
      <c r="D3" s="277"/>
      <c r="E3" s="277"/>
      <c r="F3" s="277"/>
    </row>
    <row r="4" spans="2:6">
      <c r="B4" s="277" t="s">
        <v>277</v>
      </c>
      <c r="C4" s="277"/>
      <c r="D4" s="277"/>
      <c r="E4" s="277"/>
      <c r="F4" s="277"/>
    </row>
    <row r="5" spans="2:6">
      <c r="B5" s="277" t="s">
        <v>444</v>
      </c>
      <c r="C5" s="277"/>
      <c r="D5" s="277"/>
      <c r="E5" s="277"/>
      <c r="F5" s="277"/>
    </row>
    <row r="6" spans="2:6" ht="15.75" thickBot="1">
      <c r="B6" s="277"/>
      <c r="C6" s="277"/>
      <c r="D6" s="277"/>
      <c r="E6" s="277"/>
      <c r="F6" s="277"/>
    </row>
    <row r="7" spans="2:6" ht="15.75" thickBot="1">
      <c r="B7" s="137" t="s">
        <v>276</v>
      </c>
      <c r="C7" s="138"/>
      <c r="D7" s="277"/>
      <c r="E7" s="277"/>
      <c r="F7" s="277"/>
    </row>
    <row r="8" spans="2:6" ht="15.75" thickBot="1">
      <c r="B8" s="277"/>
      <c r="C8" s="277"/>
      <c r="D8" s="277"/>
      <c r="E8" s="277"/>
      <c r="F8" s="277"/>
    </row>
    <row r="9" spans="2:6" ht="15.75" thickBot="1">
      <c r="B9" s="667" t="s">
        <v>415</v>
      </c>
      <c r="C9" s="668"/>
      <c r="D9" s="669"/>
      <c r="E9" s="277"/>
      <c r="F9" s="277"/>
    </row>
    <row r="10" spans="2:6">
      <c r="B10" s="277"/>
      <c r="C10" s="277"/>
      <c r="D10" s="277"/>
      <c r="E10" s="277"/>
      <c r="F10" s="277"/>
    </row>
    <row r="11" spans="2:6">
      <c r="B11" s="147" t="s">
        <v>445</v>
      </c>
      <c r="C11" s="277"/>
      <c r="D11" s="277"/>
      <c r="E11" s="277"/>
      <c r="F11" s="277"/>
    </row>
    <row r="12" spans="2:6" ht="15.75" thickBot="1">
      <c r="B12" s="277"/>
      <c r="C12" s="277"/>
      <c r="D12" s="277"/>
      <c r="E12" s="277"/>
      <c r="F12" s="277"/>
    </row>
    <row r="13" spans="2:6" ht="15.75" thickBot="1">
      <c r="B13" s="139" t="s">
        <v>278</v>
      </c>
      <c r="C13" s="277"/>
      <c r="D13" s="277"/>
      <c r="E13" s="277"/>
      <c r="F13" s="277"/>
    </row>
    <row r="14" spans="2:6">
      <c r="B14" s="277"/>
      <c r="C14" s="277"/>
      <c r="D14" s="277"/>
      <c r="E14" s="277"/>
      <c r="F14" s="277"/>
    </row>
    <row r="15" spans="2:6">
      <c r="B15" s="147" t="s">
        <v>446</v>
      </c>
      <c r="C15" s="277"/>
      <c r="D15" s="277"/>
      <c r="E15" s="277"/>
      <c r="F15" s="277"/>
    </row>
    <row r="16" spans="2:6">
      <c r="B16" s="277" t="s">
        <v>418</v>
      </c>
      <c r="C16" s="277"/>
      <c r="D16" s="277"/>
      <c r="E16" s="277"/>
      <c r="F16" s="277"/>
    </row>
    <row r="17" spans="2:15">
      <c r="B17" s="277" t="s">
        <v>467</v>
      </c>
      <c r="C17" s="277"/>
      <c r="D17" s="277"/>
      <c r="E17" s="277"/>
      <c r="F17" s="277"/>
    </row>
    <row r="18" spans="2:15">
      <c r="B18" s="277" t="s">
        <v>315</v>
      </c>
      <c r="C18" s="277"/>
      <c r="D18" s="277"/>
      <c r="E18" s="277"/>
      <c r="F18" s="277"/>
    </row>
    <row r="19" spans="2:15" ht="15.75" thickBot="1">
      <c r="B19" s="277"/>
      <c r="C19" s="277"/>
      <c r="D19" s="277"/>
      <c r="E19" s="277"/>
      <c r="F19" s="277"/>
    </row>
    <row r="20" spans="2:15" ht="15.75" thickBot="1">
      <c r="B20" s="673" t="s">
        <v>301</v>
      </c>
      <c r="C20" s="674"/>
      <c r="D20" s="675"/>
      <c r="E20" s="277"/>
      <c r="F20" s="277"/>
    </row>
    <row r="21" spans="2:15">
      <c r="B21" s="277"/>
      <c r="C21" s="277"/>
      <c r="D21" s="277"/>
      <c r="E21" s="277"/>
      <c r="F21" s="277"/>
    </row>
    <row r="22" spans="2:15">
      <c r="B22" s="147" t="s">
        <v>419</v>
      </c>
      <c r="C22" s="277"/>
      <c r="D22" s="277"/>
      <c r="E22" s="277"/>
      <c r="F22" s="277"/>
    </row>
    <row r="23" spans="2:15">
      <c r="B23" s="277" t="s">
        <v>420</v>
      </c>
      <c r="C23" s="277"/>
      <c r="D23" s="277"/>
      <c r="E23" s="277"/>
      <c r="F23" s="277"/>
    </row>
    <row r="24" spans="2:15">
      <c r="B24" s="277" t="s">
        <v>421</v>
      </c>
      <c r="C24" s="277"/>
      <c r="D24" s="277"/>
      <c r="E24" s="277"/>
      <c r="F24" s="277"/>
    </row>
    <row r="25" spans="2:15" s="277" customFormat="1">
      <c r="B25" s="277" t="s">
        <v>470</v>
      </c>
    </row>
    <row r="26" spans="2:15">
      <c r="B26" s="277" t="s">
        <v>447</v>
      </c>
      <c r="C26" s="277"/>
      <c r="D26" s="277"/>
      <c r="E26" s="277"/>
      <c r="F26" s="277"/>
    </row>
    <row r="27" spans="2:15" s="93" customFormat="1">
      <c r="B27" s="147" t="s">
        <v>422</v>
      </c>
      <c r="C27" s="147"/>
      <c r="D27" s="147"/>
      <c r="E27" s="147"/>
      <c r="F27" s="147"/>
      <c r="G27" s="147" t="s">
        <v>303</v>
      </c>
      <c r="H27" s="147"/>
      <c r="I27" s="147"/>
      <c r="J27" s="147"/>
      <c r="K27" s="147"/>
    </row>
    <row r="28" spans="2:15">
      <c r="B28" s="277" t="s">
        <v>423</v>
      </c>
      <c r="C28" s="277"/>
      <c r="D28" s="277"/>
      <c r="E28" s="277"/>
      <c r="F28" s="277"/>
      <c r="K28" s="213"/>
    </row>
    <row r="29" spans="2:15">
      <c r="B29" s="277" t="s">
        <v>448</v>
      </c>
      <c r="C29" s="277"/>
      <c r="D29" s="277"/>
      <c r="E29" s="277"/>
      <c r="F29" s="277"/>
      <c r="O29" s="93"/>
    </row>
    <row r="30" spans="2:15">
      <c r="B30" s="277" t="s">
        <v>424</v>
      </c>
      <c r="C30" s="277"/>
      <c r="D30" s="277"/>
      <c r="E30" s="277"/>
      <c r="F30" s="277"/>
    </row>
    <row r="31" spans="2:15" ht="15.75" thickBot="1">
      <c r="B31" s="277"/>
      <c r="C31" s="277"/>
      <c r="D31" s="277"/>
      <c r="E31" s="277"/>
      <c r="F31" s="277"/>
    </row>
    <row r="32" spans="2:15" ht="15.75" thickBot="1">
      <c r="B32" s="676" t="s">
        <v>302</v>
      </c>
      <c r="C32" s="677"/>
      <c r="D32" s="277"/>
      <c r="E32" s="277"/>
      <c r="F32" s="277"/>
    </row>
    <row r="33" spans="2:13">
      <c r="B33" s="277"/>
      <c r="C33" s="277"/>
      <c r="D33" s="277"/>
      <c r="E33" s="277"/>
      <c r="F33" s="277"/>
    </row>
    <row r="34" spans="2:13">
      <c r="B34" s="147" t="s">
        <v>441</v>
      </c>
      <c r="C34" s="147"/>
      <c r="D34" s="147"/>
      <c r="E34" s="147"/>
      <c r="F34" s="147"/>
      <c r="J34" s="365"/>
    </row>
    <row r="35" spans="2:13" s="277" customFormat="1">
      <c r="B35" s="277" t="s">
        <v>449</v>
      </c>
      <c r="G35"/>
      <c r="H35"/>
      <c r="J35" s="365"/>
    </row>
    <row r="36" spans="2:13">
      <c r="B36" s="368" t="s">
        <v>468</v>
      </c>
      <c r="C36" s="365"/>
      <c r="D36" s="365"/>
      <c r="E36" s="365"/>
      <c r="F36" s="365"/>
      <c r="G36" s="365"/>
      <c r="H36" s="365"/>
      <c r="I36" s="365"/>
      <c r="J36" s="365"/>
      <c r="K36" s="365"/>
      <c r="L36" s="365"/>
      <c r="M36" s="365"/>
    </row>
    <row r="37" spans="2:13">
      <c r="B37" s="277" t="s">
        <v>425</v>
      </c>
      <c r="C37" s="277"/>
      <c r="D37" s="277"/>
      <c r="E37" s="277"/>
      <c r="F37" s="277"/>
    </row>
    <row r="38" spans="2:13">
      <c r="B38" s="277" t="s">
        <v>426</v>
      </c>
      <c r="C38" s="277"/>
      <c r="D38" s="277"/>
      <c r="E38" s="277"/>
      <c r="F38" s="277"/>
    </row>
    <row r="39" spans="2:13">
      <c r="B39" s="277" t="s">
        <v>427</v>
      </c>
      <c r="C39" s="277"/>
      <c r="D39" s="277"/>
      <c r="E39" s="277"/>
      <c r="F39" s="277"/>
    </row>
    <row r="40" spans="2:13">
      <c r="B40" s="277" t="s">
        <v>428</v>
      </c>
      <c r="C40" s="277"/>
      <c r="D40" s="277"/>
      <c r="E40" s="277"/>
      <c r="F40" s="277"/>
    </row>
    <row r="41" spans="2:13">
      <c r="B41" s="277" t="s">
        <v>466</v>
      </c>
      <c r="F41" s="277"/>
    </row>
    <row r="42" spans="2:13" s="277" customFormat="1">
      <c r="B42" s="277" t="s">
        <v>429</v>
      </c>
    </row>
    <row r="43" spans="2:13">
      <c r="C43" s="277"/>
      <c r="D43" s="277"/>
      <c r="E43" s="277"/>
    </row>
    <row r="44" spans="2:13">
      <c r="B44" s="378" t="s">
        <v>461</v>
      </c>
      <c r="C44" s="379"/>
    </row>
    <row r="45" spans="2:13">
      <c r="B45" s="374"/>
    </row>
    <row r="46" spans="2:13">
      <c r="B46" s="375" t="s">
        <v>464</v>
      </c>
    </row>
    <row r="47" spans="2:13">
      <c r="B47" s="376" t="s">
        <v>440</v>
      </c>
    </row>
    <row r="48" spans="2:13" ht="15.75" thickBot="1">
      <c r="B48" s="376"/>
    </row>
    <row r="49" spans="2:2" ht="15.75" thickBot="1">
      <c r="B49" s="148" t="s">
        <v>304</v>
      </c>
    </row>
    <row r="50" spans="2:2">
      <c r="B50" s="4"/>
    </row>
    <row r="51" spans="2:2">
      <c r="B51" s="375" t="s">
        <v>316</v>
      </c>
    </row>
    <row r="52" spans="2:2">
      <c r="B52" s="4" t="s">
        <v>462</v>
      </c>
    </row>
    <row r="53" spans="2:2">
      <c r="B53" s="4" t="s">
        <v>469</v>
      </c>
    </row>
    <row r="54" spans="2:2">
      <c r="B54" s="4" t="s">
        <v>442</v>
      </c>
    </row>
    <row r="55" spans="2:2">
      <c r="B55" s="4" t="s">
        <v>430</v>
      </c>
    </row>
    <row r="56" spans="2:2">
      <c r="B56" s="4" t="s">
        <v>443</v>
      </c>
    </row>
    <row r="57" spans="2:2">
      <c r="B57" s="4"/>
    </row>
    <row r="58" spans="2:2">
      <c r="B58" s="377" t="s">
        <v>456</v>
      </c>
    </row>
    <row r="59" spans="2:2">
      <c r="B59" s="2" t="s">
        <v>463</v>
      </c>
    </row>
    <row r="60" spans="2:2">
      <c r="B60" s="2" t="s">
        <v>457</v>
      </c>
    </row>
    <row r="61" spans="2:2">
      <c r="B61" s="2" t="s">
        <v>458</v>
      </c>
    </row>
    <row r="62" spans="2:2">
      <c r="B62" s="2" t="s">
        <v>459</v>
      </c>
    </row>
    <row r="63" spans="2:2">
      <c r="B63" s="369" t="s">
        <v>460</v>
      </c>
    </row>
  </sheetData>
  <mergeCells count="4">
    <mergeCell ref="B9:D9"/>
    <mergeCell ref="B2:F2"/>
    <mergeCell ref="B20:D20"/>
    <mergeCell ref="B32:C3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A0F8F-B0F1-44FC-9AE8-3EF473D14511}">
  <sheetPr>
    <tabColor theme="0"/>
  </sheetPr>
  <dimension ref="A1:Y35"/>
  <sheetViews>
    <sheetView zoomScale="85" zoomScaleNormal="85" workbookViewId="0">
      <selection activeCell="A16" sqref="A16:M17"/>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700</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PROJET N°2  : Adapter un éclairage public.</v>
      </c>
      <c r="C2" s="886"/>
      <c r="D2" s="886"/>
      <c r="E2" s="886"/>
      <c r="F2" s="886"/>
      <c r="G2" s="886"/>
      <c r="H2" s="886"/>
      <c r="I2" s="886"/>
      <c r="J2" s="886"/>
      <c r="K2" s="886"/>
      <c r="L2" s="886"/>
      <c r="M2" s="887"/>
      <c r="N2" s="407" t="str">
        <f>INDEX(Problématiques_compétences!$B$3:$D$118,MATCH(A1,Problématiques_compétences!$D$3:$D$118,0),1)</f>
        <v>Recherches de solutions</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1.2</v>
      </c>
      <c r="B4" s="872" t="str">
        <f ca="1">INDEX(Programme!$B$4:$C$46,MATCH(A4,Programme!$B$4:$B$46,0),2)</f>
        <v xml:space="preserve">► Mesurer des grandeurs de manière directe ou indirecte. </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MSOST.1.6</v>
      </c>
      <c r="L4" s="873" t="str">
        <f ca="1">IFERROR(INDEX(Programme!$I$7:$J$94,MATCH($K4,Programme!$I$7:$I$94,0),2),"")</f>
        <v xml:space="preserve">Mesurer des grandeurs de manière directe ou indirecte. </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Instruments de mesure usuels. Principe de fonctionnement d’un capteur, d’un codeur, d’un détecteur. Nature du signal : analogique ou numérique. Nature d’une information : logique ou analogique.</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1.3</v>
      </c>
      <c r="B6" s="872" t="str">
        <f ca="1">IFERROR(INDEX(Programme!$B$4:$C$46,MATCH(A6,Programme!$B$4:$B$46,0),2),"")</f>
        <v xml:space="preserve">► Rechercher des solutions techniques à un problème posé, expliciter ses choix et les communiquer en argumentant. </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DIC.1.5</v>
      </c>
      <c r="L6" s="873" t="str">
        <f ca="1">IFERROR(INDEX(Programme!$I$7:$J$94,MATCH($K6,Programme!$I$7:$I$94,0),2),"")</f>
        <v>Imaginer des solutions pour produire des objets et des éléments de programmes informatiques en réponse au besoin.</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Design. Innovation et créativité. Veille. Représentation de solutions (croquis, schémas, algorithmes). Réalité augmentée. Objets connectés.</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1.4</v>
      </c>
      <c r="B8" s="872" t="str">
        <f ca="1">IFERROR(INDEX(Programme!$B$4:$C$46,MATCH(A8,Programme!$B$4:$B$46,0),2),"")</f>
        <v>► Participer à l’organisation et au déroulement de projets.</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DIC.1.4</v>
      </c>
      <c r="L8" s="873" t="str">
        <f ca="1">IFERROR(INDEX(Programme!$I$7:$J$94,MATCH($K8,Programme!$I$7:$I$94,0),2),"")</f>
        <v>Participer à l’organisation de projets, la définition des rôles, la planification (se projeter et anticiper) et aux revues de projet.</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Organisation d’un groupe de projet, rôle des participants, planning, revue de projets.</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2.4</v>
      </c>
      <c r="B10" s="872" t="str">
        <f ca="1">IFERROR(INDEX(Programme!$B$4:$C$46,MATCH(A10,Programme!$B$4:$B$46,0),2),"")</f>
        <v>► Associer des solutions techniques à des fonctions.</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MSOST.1.2</v>
      </c>
      <c r="L10" s="873" t="str">
        <f ca="1">IFERROR(INDEX(Programme!$I$7:$J$94,MATCH($K10,Programme!$I$7:$I$94,0),2),"")</f>
        <v>Associer des solutions techniques à des fonctions.</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Analyse fonctionnelle systémique.</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58" t="s">
        <v>70</v>
      </c>
      <c r="B12" s="531"/>
      <c r="C12" s="531"/>
      <c r="D12" s="531"/>
      <c r="E12" s="531"/>
      <c r="F12" s="531"/>
      <c r="G12" s="531"/>
      <c r="H12" s="531"/>
      <c r="I12" s="531"/>
      <c r="J12" s="531"/>
      <c r="K12" s="430"/>
      <c r="L12" s="460"/>
      <c r="M12" s="432"/>
      <c r="N12" s="461" t="s">
        <v>72</v>
      </c>
      <c r="O12" s="462"/>
      <c r="P12" s="462"/>
      <c r="Q12" s="462"/>
      <c r="R12" s="462"/>
      <c r="S12" s="462"/>
      <c r="T12" s="462"/>
      <c r="U12" s="462"/>
      <c r="V12" s="462"/>
      <c r="W12" s="462"/>
      <c r="X12" s="462"/>
      <c r="Y12" s="463"/>
    </row>
    <row r="13" spans="1:25" ht="30.75" customHeight="1">
      <c r="A13" s="894" t="s">
        <v>721</v>
      </c>
      <c r="B13" s="894"/>
      <c r="C13" s="894"/>
      <c r="D13" s="894"/>
      <c r="E13" s="894"/>
      <c r="F13" s="894"/>
      <c r="G13" s="894"/>
      <c r="H13" s="894"/>
      <c r="I13" s="894"/>
      <c r="J13" s="894"/>
      <c r="K13" s="894"/>
      <c r="L13" s="894"/>
      <c r="M13" s="894"/>
      <c r="N13" s="894" t="s">
        <v>722</v>
      </c>
      <c r="O13" s="894"/>
      <c r="P13" s="894"/>
      <c r="Q13" s="894"/>
      <c r="R13" s="894"/>
      <c r="S13" s="894"/>
      <c r="T13" s="894"/>
      <c r="U13" s="894"/>
      <c r="V13" s="894"/>
      <c r="W13" s="894"/>
      <c r="X13" s="894"/>
      <c r="Y13" s="894"/>
    </row>
    <row r="14" spans="1:25" ht="180" customHeight="1">
      <c r="A14" s="894"/>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row>
    <row r="15" spans="1:25" ht="16.5" customHeight="1">
      <c r="A15" s="464" t="s">
        <v>376</v>
      </c>
      <c r="B15" s="532"/>
      <c r="C15" s="533"/>
      <c r="D15" s="533"/>
      <c r="E15" s="533"/>
      <c r="F15" s="533"/>
      <c r="G15" s="533"/>
      <c r="H15" s="533"/>
      <c r="I15" s="533"/>
      <c r="J15" s="533"/>
      <c r="K15" s="439"/>
      <c r="L15" s="467"/>
      <c r="M15" s="441"/>
      <c r="N15" s="468" t="s">
        <v>377</v>
      </c>
      <c r="O15" s="469"/>
      <c r="P15" s="469"/>
      <c r="Q15" s="469"/>
      <c r="R15" s="469"/>
      <c r="S15" s="469"/>
      <c r="T15" s="469"/>
      <c r="U15" s="469"/>
      <c r="V15" s="469"/>
      <c r="W15" s="469"/>
      <c r="X15" s="469"/>
      <c r="Y15" s="470"/>
    </row>
    <row r="16" spans="1:25" ht="30" customHeight="1" thickBot="1">
      <c r="A16" s="895" t="s">
        <v>723</v>
      </c>
      <c r="B16" s="895"/>
      <c r="C16" s="895"/>
      <c r="D16" s="895"/>
      <c r="E16" s="895"/>
      <c r="F16" s="895"/>
      <c r="G16" s="895"/>
      <c r="H16" s="895"/>
      <c r="I16" s="895"/>
      <c r="J16" s="895"/>
      <c r="K16" s="895"/>
      <c r="L16" s="895"/>
      <c r="M16" s="895"/>
      <c r="N16" s="895" t="s">
        <v>705</v>
      </c>
      <c r="O16" s="895"/>
      <c r="P16" s="895"/>
      <c r="Q16" s="895"/>
      <c r="R16" s="895"/>
      <c r="S16" s="895"/>
      <c r="T16" s="895"/>
      <c r="U16" s="895"/>
      <c r="V16" s="895"/>
      <c r="W16" s="895"/>
      <c r="X16" s="895"/>
      <c r="Y16" s="895"/>
    </row>
    <row r="17" spans="1:25" ht="41.25" customHeight="1" thickBot="1">
      <c r="A17" s="895"/>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row>
    <row r="18" spans="1:25" ht="16.5" customHeight="1" thickBot="1">
      <c r="A18" s="471" t="s">
        <v>73</v>
      </c>
      <c r="B18" s="462"/>
      <c r="C18" s="462"/>
      <c r="D18" s="462"/>
      <c r="E18" s="545"/>
      <c r="F18" s="939" t="s">
        <v>706</v>
      </c>
      <c r="G18" s="939"/>
      <c r="H18" s="939"/>
      <c r="I18" s="939"/>
      <c r="J18" s="939"/>
      <c r="K18" s="939"/>
      <c r="L18" s="939"/>
      <c r="M18" s="939"/>
      <c r="N18" s="896" t="s">
        <v>382</v>
      </c>
      <c r="O18" s="896"/>
      <c r="P18" s="896"/>
      <c r="Q18" s="896"/>
      <c r="R18" s="984" t="s">
        <v>724</v>
      </c>
      <c r="S18" s="984"/>
      <c r="T18" s="984"/>
      <c r="U18" s="984"/>
      <c r="V18" s="984"/>
      <c r="W18" s="984"/>
      <c r="X18" s="984"/>
      <c r="Y18" s="984"/>
    </row>
    <row r="19" spans="1:25" ht="15.75" customHeight="1" thickBot="1">
      <c r="A19" s="546" t="s">
        <v>465</v>
      </c>
      <c r="B19" s="547"/>
      <c r="C19" s="985" t="s">
        <v>725</v>
      </c>
      <c r="D19" s="985"/>
      <c r="E19" s="985"/>
      <c r="F19" s="985"/>
      <c r="G19" s="985"/>
      <c r="H19" s="985"/>
      <c r="I19" s="985"/>
      <c r="J19" s="985"/>
      <c r="K19" s="985"/>
      <c r="L19" s="985"/>
      <c r="M19" s="985"/>
      <c r="N19" s="896"/>
      <c r="O19" s="896"/>
      <c r="P19" s="896"/>
      <c r="Q19" s="896"/>
      <c r="R19" s="984"/>
      <c r="S19" s="984"/>
      <c r="T19" s="984"/>
      <c r="U19" s="984"/>
      <c r="V19" s="984"/>
      <c r="W19" s="984"/>
      <c r="X19" s="984"/>
      <c r="Y19" s="984"/>
    </row>
    <row r="20" spans="1:25">
      <c r="A20" s="477"/>
      <c r="B20" s="469"/>
      <c r="C20" s="469"/>
      <c r="D20" s="469"/>
      <c r="E20" s="469"/>
      <c r="F20" s="469"/>
      <c r="G20" s="469"/>
      <c r="H20" s="439"/>
      <c r="I20" s="439"/>
      <c r="J20" s="439"/>
      <c r="K20" s="478"/>
      <c r="L20" s="478"/>
      <c r="M20" s="478"/>
      <c r="N20" s="478"/>
      <c r="O20" s="534"/>
      <c r="P20" s="534"/>
      <c r="Q20" s="534"/>
      <c r="R20" s="534"/>
      <c r="S20" s="534"/>
      <c r="T20" s="534"/>
      <c r="U20" s="534"/>
      <c r="V20" s="534"/>
      <c r="W20" s="534"/>
      <c r="X20" s="534"/>
      <c r="Y20" s="534"/>
    </row>
    <row r="21" spans="1:25" ht="15.75">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02" t="s">
        <v>75</v>
      </c>
      <c r="D22" s="902"/>
      <c r="E22" s="902"/>
      <c r="F22" s="902"/>
      <c r="G22" s="902"/>
      <c r="H22" s="902"/>
      <c r="I22" s="902"/>
      <c r="J22" s="902"/>
      <c r="K22" s="902"/>
      <c r="L22" s="903" t="s">
        <v>76</v>
      </c>
      <c r="M22" s="903"/>
      <c r="N22" s="903"/>
      <c r="O22" s="903"/>
      <c r="P22" s="903"/>
      <c r="Q22" s="903"/>
      <c r="R22" s="903"/>
      <c r="S22" s="902" t="s">
        <v>77</v>
      </c>
      <c r="T22" s="902"/>
      <c r="U22" s="902"/>
      <c r="V22" s="902"/>
      <c r="W22" s="902"/>
      <c r="X22" s="902"/>
      <c r="Y22" s="902"/>
    </row>
    <row r="23" spans="1:25" ht="33.75" customHeight="1">
      <c r="A23" s="904" t="s">
        <v>78</v>
      </c>
      <c r="B23" s="904"/>
      <c r="C23" s="905" t="s">
        <v>726</v>
      </c>
      <c r="D23" s="905"/>
      <c r="E23" s="905"/>
      <c r="F23" s="905"/>
      <c r="G23" s="905"/>
      <c r="H23" s="905"/>
      <c r="I23" s="905"/>
      <c r="J23" s="905"/>
      <c r="K23" s="905"/>
      <c r="L23" s="906" t="s">
        <v>727</v>
      </c>
      <c r="M23" s="906"/>
      <c r="N23" s="906"/>
      <c r="O23" s="906"/>
      <c r="P23" s="906"/>
      <c r="Q23" s="906"/>
      <c r="R23" s="906"/>
      <c r="S23" s="905" t="s">
        <v>728</v>
      </c>
      <c r="T23" s="905"/>
      <c r="U23" s="905"/>
      <c r="V23" s="905"/>
      <c r="W23" s="905"/>
      <c r="X23" s="905"/>
      <c r="Y23" s="905"/>
    </row>
    <row r="24" spans="1:25" ht="344.25" customHeight="1">
      <c r="A24" s="907" t="s">
        <v>79</v>
      </c>
      <c r="B24" s="907"/>
      <c r="C24" s="942" t="s">
        <v>729</v>
      </c>
      <c r="D24" s="942"/>
      <c r="E24" s="942"/>
      <c r="F24" s="942"/>
      <c r="G24" s="942"/>
      <c r="H24" s="942"/>
      <c r="I24" s="942"/>
      <c r="J24" s="942"/>
      <c r="K24" s="942"/>
      <c r="L24" s="942" t="s">
        <v>730</v>
      </c>
      <c r="M24" s="942"/>
      <c r="N24" s="942"/>
      <c r="O24" s="942"/>
      <c r="P24" s="942"/>
      <c r="Q24" s="942"/>
      <c r="R24" s="942"/>
      <c r="S24" s="942" t="s">
        <v>731</v>
      </c>
      <c r="T24" s="942"/>
      <c r="U24" s="942"/>
      <c r="V24" s="942"/>
      <c r="W24" s="942"/>
      <c r="X24" s="942"/>
      <c r="Y24" s="942"/>
    </row>
    <row r="25" spans="1:25" ht="45" customHeight="1">
      <c r="A25" s="908" t="s">
        <v>81</v>
      </c>
      <c r="B25" s="908"/>
      <c r="C25" s="988" t="s">
        <v>732</v>
      </c>
      <c r="D25" s="989"/>
      <c r="E25" s="989"/>
      <c r="F25" s="989"/>
      <c r="G25" s="989"/>
      <c r="H25" s="989"/>
      <c r="I25" s="989"/>
      <c r="J25" s="989"/>
      <c r="K25" s="906"/>
      <c r="L25" s="905" t="s">
        <v>517</v>
      </c>
      <c r="M25" s="905"/>
      <c r="N25" s="905"/>
      <c r="O25" s="905"/>
      <c r="P25" s="905"/>
      <c r="Q25" s="905"/>
      <c r="R25" s="905"/>
      <c r="S25" s="905" t="s">
        <v>732</v>
      </c>
      <c r="T25" s="905"/>
      <c r="U25" s="905"/>
      <c r="V25" s="905"/>
      <c r="W25" s="905"/>
      <c r="X25" s="905"/>
      <c r="Y25" s="905"/>
    </row>
    <row r="26" spans="1:25" ht="45" customHeight="1">
      <c r="A26" s="908" t="s">
        <v>80</v>
      </c>
      <c r="B26" s="908"/>
      <c r="C26" s="905" t="s">
        <v>733</v>
      </c>
      <c r="D26" s="905"/>
      <c r="E26" s="905"/>
      <c r="F26" s="905"/>
      <c r="G26" s="905"/>
      <c r="H26" s="905"/>
      <c r="I26" s="905"/>
      <c r="J26" s="905"/>
      <c r="K26" s="905"/>
      <c r="L26" s="905" t="s">
        <v>734</v>
      </c>
      <c r="M26" s="905"/>
      <c r="N26" s="905"/>
      <c r="O26" s="905"/>
      <c r="P26" s="905"/>
      <c r="Q26" s="905"/>
      <c r="R26" s="905"/>
      <c r="S26" s="905" t="s">
        <v>735</v>
      </c>
      <c r="T26" s="905"/>
      <c r="U26" s="905"/>
      <c r="V26" s="905"/>
      <c r="W26" s="905"/>
      <c r="X26" s="905"/>
      <c r="Y26" s="905"/>
    </row>
    <row r="27" spans="1:25" ht="66.75" customHeight="1">
      <c r="A27" s="907" t="s">
        <v>542</v>
      </c>
      <c r="B27" s="907"/>
      <c r="C27" s="905" t="s">
        <v>736</v>
      </c>
      <c r="D27" s="905"/>
      <c r="E27" s="905"/>
      <c r="F27" s="905"/>
      <c r="G27" s="905"/>
      <c r="H27" s="905"/>
      <c r="I27" s="905"/>
      <c r="J27" s="905"/>
      <c r="K27" s="905"/>
      <c r="L27" s="905" t="s">
        <v>737</v>
      </c>
      <c r="M27" s="905"/>
      <c r="N27" s="905"/>
      <c r="O27" s="905"/>
      <c r="P27" s="905"/>
      <c r="Q27" s="905"/>
      <c r="R27" s="905"/>
      <c r="S27" s="905" t="s">
        <v>738</v>
      </c>
      <c r="T27" s="905"/>
      <c r="U27" s="905"/>
      <c r="V27" s="905"/>
      <c r="W27" s="905"/>
      <c r="X27" s="905"/>
      <c r="Y27" s="905"/>
    </row>
    <row r="30" spans="1:25">
      <c r="D30" s="394"/>
    </row>
    <row r="32" spans="1:25">
      <c r="I32" s="396"/>
      <c r="J32" s="396"/>
      <c r="K32" s="396"/>
    </row>
    <row r="33" spans="9:11" ht="15.75">
      <c r="I33" s="397"/>
      <c r="J33" s="398"/>
      <c r="K33" s="395"/>
    </row>
    <row r="34" spans="9:11">
      <c r="I34" s="396"/>
      <c r="J34" s="395"/>
    </row>
    <row r="35" spans="9:11">
      <c r="I35" s="396"/>
    </row>
  </sheetData>
  <mergeCells count="55">
    <mergeCell ref="A21:Y21"/>
    <mergeCell ref="C22:K22"/>
    <mergeCell ref="L22:R22"/>
    <mergeCell ref="S22:Y22"/>
    <mergeCell ref="A23:B23"/>
    <mergeCell ref="C23:K23"/>
    <mergeCell ref="L23:R23"/>
    <mergeCell ref="S23:Y23"/>
    <mergeCell ref="A27:B27"/>
    <mergeCell ref="C27:K27"/>
    <mergeCell ref="L27:R27"/>
    <mergeCell ref="S27:Y27"/>
    <mergeCell ref="A24:B24"/>
    <mergeCell ref="C24:K24"/>
    <mergeCell ref="L24:R24"/>
    <mergeCell ref="S24:Y24"/>
    <mergeCell ref="A25:B25"/>
    <mergeCell ref="C25:K25"/>
    <mergeCell ref="L25:R25"/>
    <mergeCell ref="S25:Y25"/>
    <mergeCell ref="A26:B26"/>
    <mergeCell ref="C26:K26"/>
    <mergeCell ref="L26:R26"/>
    <mergeCell ref="S26:Y26"/>
    <mergeCell ref="A13:M14"/>
    <mergeCell ref="N13:Y14"/>
    <mergeCell ref="A16:M17"/>
    <mergeCell ref="N16:Y17"/>
    <mergeCell ref="N18:Q19"/>
    <mergeCell ref="F18:M18"/>
    <mergeCell ref="R18:Y19"/>
    <mergeCell ref="C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EA55B-2776-4A52-8670-F99B9F6175A3}">
  <sheetPr>
    <tabColor theme="0"/>
  </sheetPr>
  <dimension ref="A1:Y35"/>
  <sheetViews>
    <sheetView zoomScale="85" zoomScaleNormal="85" workbookViewId="0">
      <selection activeCell="B10" sqref="B10:J10"/>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701</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PROJET N°2  : Adapter un éclairage public.</v>
      </c>
      <c r="C2" s="886"/>
      <c r="D2" s="886"/>
      <c r="E2" s="886"/>
      <c r="F2" s="886"/>
      <c r="G2" s="886"/>
      <c r="H2" s="886"/>
      <c r="I2" s="886"/>
      <c r="J2" s="886"/>
      <c r="K2" s="886"/>
      <c r="L2" s="886"/>
      <c r="M2" s="887"/>
      <c r="N2" s="407" t="str">
        <f>INDEX(Problématiques_compétences!$B$3:$D$118,MATCH(A1,Problématiques_compétences!$D$3:$D$118,0),1)</f>
        <v>Réalisation - test et validation</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2.6</v>
      </c>
      <c r="B4" s="872" t="str">
        <f ca="1">INDEX(Programme!$B$4:$C$46,MATCH(A4,Programme!$B$4:$B$46,0),2)</f>
        <v>► Réaliser, de manière collaborative, le prototype de tout ou partie d’un objet pour valider une solution.</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DIC.2.1</v>
      </c>
      <c r="L4" s="873" t="str">
        <f ca="1">IFERROR(INDEX(Programme!$I$7:$J$94,MATCH($K4,Programme!$I$7:$I$94,0),2),"")</f>
        <v>Réaliser, de manière collaborative, le prototype d’un objet pour valider une solution.</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Prototypage rapide de structures et de circuits de commande à partir de cartes standard.</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MSOST.1.1</v>
      </c>
      <c r="L5" s="879" t="str">
        <f ca="1">IFERROR(INDEX(Programme!$I$7:$J$94,MATCH($K5,Programme!$I$7:$I$94,0),2),"")</f>
        <v>Respecter une procédure de travail garantissant un résultat en respectant les règles de sécurité et d’utilisation des outils mis à disposition.</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Procédures, protocoles. Ergonomie.</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2.7</v>
      </c>
      <c r="B6" s="872" t="str">
        <f ca="1">IFERROR(INDEX(Programme!$B$4:$C$46,MATCH(A6,Programme!$B$4:$B$46,0),2),"")</f>
        <v>► Imaginer, concevoir et programmer des applications informatiques nomades.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DIC.1.5</v>
      </c>
      <c r="L6" s="873" t="str">
        <f ca="1">IFERROR(INDEX(Programme!$I$7:$J$94,MATCH($K6,Programme!$I$7:$I$94,0),2),"")</f>
        <v>Imaginer des solutions pour produire des objets et des éléments de programmes informatiques en réponse au besoin.</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Design. Innovation et créativité. Veille. Représentation de solutions (croquis, schémas, algorithmes). Réalité augmentée. Objets connectés.</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IP.2.2</v>
      </c>
      <c r="L7" s="879" t="str">
        <f ca="1">IFERROR(INDEX(Programme!$I$7:$J$94,MATCH($K7,Programme!$I$7:$I$94,0),2),"")</f>
        <v>Écrire, mettre au point (tester, corriger) et exécuter un programme commandant un système réel et vérifier le comportement attendu.</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4.2</v>
      </c>
      <c r="B8" s="872" t="str">
        <f ca="1">IFERROR(INDEX(Programme!$B$4:$C$46,MATCH(A8,Programme!$B$4:$B$46,0),2),"")</f>
        <v>► Appliquer les principes élémentaires de l’algorithmique et du codage à la résolution d’un problème simple.</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IP.2.3</v>
      </c>
      <c r="L8" s="873" t="str">
        <f ca="1">IFERROR(INDEX(Programme!$I$7:$J$94,MATCH($K8,Programme!$I$7:$I$94,0),2),"")</f>
        <v>Écrire un programme dans lequel des actions sont déclenchées par des événements extérieurs.</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5.4</v>
      </c>
      <c r="B10" s="872" t="str">
        <f ca="1">IFERROR(INDEX(Programme!$B$4:$C$46,MATCH(A10,Programme!$B$4:$B$46,0),2),"")</f>
        <v>► Piloter un système connecté localement ou à distance.</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IP.2.2</v>
      </c>
      <c r="L10" s="873" t="str">
        <f ca="1">IFERROR(INDEX(Programme!$I$7:$J$94,MATCH($K10,Programme!$I$7:$I$94,0),2),"")</f>
        <v>Écrire, mettre au point (tester, corriger) et exécuter un programme commandant un système réel et vérifier le comportement attendu.</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58" t="s">
        <v>70</v>
      </c>
      <c r="B12" s="531"/>
      <c r="C12" s="531"/>
      <c r="D12" s="531"/>
      <c r="E12" s="531"/>
      <c r="F12" s="531"/>
      <c r="G12" s="531"/>
      <c r="H12" s="531"/>
      <c r="I12" s="531"/>
      <c r="J12" s="531"/>
      <c r="K12" s="430"/>
      <c r="L12" s="460"/>
      <c r="M12" s="432"/>
      <c r="N12" s="461" t="s">
        <v>72</v>
      </c>
      <c r="O12" s="462"/>
      <c r="P12" s="462"/>
      <c r="Q12" s="462"/>
      <c r="R12" s="462"/>
      <c r="S12" s="462"/>
      <c r="T12" s="462"/>
      <c r="U12" s="462"/>
      <c r="V12" s="462"/>
      <c r="W12" s="462"/>
      <c r="X12" s="462"/>
      <c r="Y12" s="463"/>
    </row>
    <row r="13" spans="1:25" ht="30.75" customHeight="1">
      <c r="A13" s="894" t="s">
        <v>753</v>
      </c>
      <c r="B13" s="894"/>
      <c r="C13" s="894"/>
      <c r="D13" s="894"/>
      <c r="E13" s="894"/>
      <c r="F13" s="894"/>
      <c r="G13" s="894"/>
      <c r="H13" s="894"/>
      <c r="I13" s="894"/>
      <c r="J13" s="894"/>
      <c r="K13" s="894"/>
      <c r="L13" s="894"/>
      <c r="M13" s="894"/>
      <c r="N13" s="894" t="s">
        <v>722</v>
      </c>
      <c r="O13" s="894"/>
      <c r="P13" s="894"/>
      <c r="Q13" s="894"/>
      <c r="R13" s="894"/>
      <c r="S13" s="894"/>
      <c r="T13" s="894"/>
      <c r="U13" s="894"/>
      <c r="V13" s="894"/>
      <c r="W13" s="894"/>
      <c r="X13" s="894"/>
      <c r="Y13" s="894"/>
    </row>
    <row r="14" spans="1:25" ht="177" customHeight="1">
      <c r="A14" s="894"/>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row>
    <row r="15" spans="1:25" ht="16.5" customHeight="1">
      <c r="A15" s="464" t="s">
        <v>376</v>
      </c>
      <c r="B15" s="532"/>
      <c r="C15" s="533"/>
      <c r="D15" s="533"/>
      <c r="E15" s="533"/>
      <c r="F15" s="533"/>
      <c r="G15" s="533"/>
      <c r="H15" s="533"/>
      <c r="I15" s="533"/>
      <c r="J15" s="533"/>
      <c r="K15" s="439"/>
      <c r="L15" s="467"/>
      <c r="M15" s="441"/>
      <c r="N15" s="468" t="s">
        <v>377</v>
      </c>
      <c r="O15" s="469"/>
      <c r="P15" s="469"/>
      <c r="Q15" s="469"/>
      <c r="R15" s="469"/>
      <c r="S15" s="469"/>
      <c r="T15" s="469"/>
      <c r="U15" s="469"/>
      <c r="V15" s="469"/>
      <c r="W15" s="469"/>
      <c r="X15" s="469"/>
      <c r="Y15" s="470"/>
    </row>
    <row r="16" spans="1:25" ht="30" customHeight="1" thickBot="1">
      <c r="A16" s="895" t="s">
        <v>754</v>
      </c>
      <c r="B16" s="895"/>
      <c r="C16" s="895"/>
      <c r="D16" s="895"/>
      <c r="E16" s="895"/>
      <c r="F16" s="895"/>
      <c r="G16" s="895"/>
      <c r="H16" s="895"/>
      <c r="I16" s="895"/>
      <c r="J16" s="895"/>
      <c r="K16" s="895"/>
      <c r="L16" s="895"/>
      <c r="M16" s="895"/>
      <c r="N16" s="895" t="s">
        <v>705</v>
      </c>
      <c r="O16" s="895"/>
      <c r="P16" s="895"/>
      <c r="Q16" s="895"/>
      <c r="R16" s="895"/>
      <c r="S16" s="895"/>
      <c r="T16" s="895"/>
      <c r="U16" s="895"/>
      <c r="V16" s="895"/>
      <c r="W16" s="895"/>
      <c r="X16" s="895"/>
      <c r="Y16" s="895"/>
    </row>
    <row r="17" spans="1:25" ht="60.75" customHeight="1" thickBot="1">
      <c r="A17" s="895"/>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row>
    <row r="18" spans="1:25" ht="16.5" customHeight="1" thickBot="1">
      <c r="A18" s="471" t="s">
        <v>73</v>
      </c>
      <c r="B18" s="462"/>
      <c r="C18" s="462"/>
      <c r="D18" s="462"/>
      <c r="E18" s="545"/>
      <c r="F18" s="939" t="s">
        <v>706</v>
      </c>
      <c r="G18" s="939"/>
      <c r="H18" s="939"/>
      <c r="I18" s="939"/>
      <c r="J18" s="939"/>
      <c r="K18" s="939"/>
      <c r="L18" s="939"/>
      <c r="M18" s="939"/>
      <c r="N18" s="896" t="s">
        <v>382</v>
      </c>
      <c r="O18" s="896"/>
      <c r="P18" s="896"/>
      <c r="Q18" s="896"/>
      <c r="R18" s="984"/>
      <c r="S18" s="984"/>
      <c r="T18" s="984"/>
      <c r="U18" s="984"/>
      <c r="V18" s="984"/>
      <c r="W18" s="984"/>
      <c r="X18" s="984"/>
      <c r="Y18" s="984"/>
    </row>
    <row r="19" spans="1:25" ht="15" customHeight="1" thickBot="1">
      <c r="A19" s="546" t="s">
        <v>465</v>
      </c>
      <c r="B19" s="547"/>
      <c r="C19" s="985" t="s">
        <v>739</v>
      </c>
      <c r="D19" s="985"/>
      <c r="E19" s="985"/>
      <c r="F19" s="985"/>
      <c r="G19" s="985"/>
      <c r="H19" s="985"/>
      <c r="I19" s="985"/>
      <c r="J19" s="985"/>
      <c r="K19" s="985"/>
      <c r="L19" s="985"/>
      <c r="M19" s="985"/>
      <c r="N19" s="896"/>
      <c r="O19" s="896"/>
      <c r="P19" s="896"/>
      <c r="Q19" s="896"/>
      <c r="R19" s="984"/>
      <c r="S19" s="984"/>
      <c r="T19" s="984"/>
      <c r="U19" s="984"/>
      <c r="V19" s="984"/>
      <c r="W19" s="984"/>
      <c r="X19" s="984"/>
      <c r="Y19" s="984"/>
    </row>
    <row r="20" spans="1:25" ht="15" customHeight="1">
      <c r="A20" s="477"/>
      <c r="B20" s="469"/>
      <c r="C20" s="469"/>
      <c r="D20" s="469"/>
      <c r="E20" s="469"/>
      <c r="F20" s="469"/>
      <c r="G20" s="469"/>
      <c r="H20" s="439"/>
      <c r="I20" s="439"/>
      <c r="J20" s="439"/>
      <c r="K20" s="478"/>
      <c r="L20" s="478"/>
      <c r="M20" s="478"/>
      <c r="N20" s="478"/>
      <c r="O20" s="534"/>
      <c r="P20" s="534"/>
      <c r="Q20" s="534"/>
      <c r="R20" s="534"/>
      <c r="S20" s="534"/>
      <c r="T20" s="534"/>
      <c r="U20" s="534"/>
      <c r="V20" s="534"/>
      <c r="W20" s="534"/>
      <c r="X20" s="534"/>
      <c r="Y20" s="534"/>
    </row>
    <row r="21" spans="1:25" ht="15" customHeight="1">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02" t="s">
        <v>75</v>
      </c>
      <c r="D22" s="902"/>
      <c r="E22" s="902"/>
      <c r="F22" s="902"/>
      <c r="G22" s="902"/>
      <c r="H22" s="902"/>
      <c r="I22" s="902"/>
      <c r="J22" s="902"/>
      <c r="K22" s="902"/>
      <c r="L22" s="903" t="s">
        <v>76</v>
      </c>
      <c r="M22" s="903"/>
      <c r="N22" s="903"/>
      <c r="O22" s="903"/>
      <c r="P22" s="903"/>
      <c r="Q22" s="903"/>
      <c r="R22" s="903"/>
      <c r="S22" s="902" t="s">
        <v>77</v>
      </c>
      <c r="T22" s="902"/>
      <c r="U22" s="902"/>
      <c r="V22" s="902"/>
      <c r="W22" s="902"/>
      <c r="X22" s="902"/>
      <c r="Y22" s="902"/>
    </row>
    <row r="23" spans="1:25" ht="33.75" customHeight="1">
      <c r="A23" s="904" t="s">
        <v>78</v>
      </c>
      <c r="B23" s="904"/>
      <c r="C23" s="905" t="s">
        <v>740</v>
      </c>
      <c r="D23" s="905"/>
      <c r="E23" s="905"/>
      <c r="F23" s="905"/>
      <c r="G23" s="905"/>
      <c r="H23" s="905"/>
      <c r="I23" s="905"/>
      <c r="J23" s="905"/>
      <c r="K23" s="905"/>
      <c r="L23" s="906" t="s">
        <v>741</v>
      </c>
      <c r="M23" s="906"/>
      <c r="N23" s="906"/>
      <c r="O23" s="906"/>
      <c r="P23" s="906"/>
      <c r="Q23" s="906"/>
      <c r="R23" s="906"/>
      <c r="S23" s="905" t="s">
        <v>742</v>
      </c>
      <c r="T23" s="905"/>
      <c r="U23" s="905"/>
      <c r="V23" s="905"/>
      <c r="W23" s="905"/>
      <c r="X23" s="905"/>
      <c r="Y23" s="905"/>
    </row>
    <row r="24" spans="1:25" ht="194.25" customHeight="1">
      <c r="A24" s="907" t="s">
        <v>79</v>
      </c>
      <c r="B24" s="907"/>
      <c r="C24" s="942" t="s">
        <v>743</v>
      </c>
      <c r="D24" s="942"/>
      <c r="E24" s="942"/>
      <c r="F24" s="942"/>
      <c r="G24" s="942"/>
      <c r="H24" s="942"/>
      <c r="I24" s="942"/>
      <c r="J24" s="942"/>
      <c r="K24" s="942"/>
      <c r="L24" s="942" t="s">
        <v>744</v>
      </c>
      <c r="M24" s="942"/>
      <c r="N24" s="942"/>
      <c r="O24" s="942"/>
      <c r="P24" s="942"/>
      <c r="Q24" s="942"/>
      <c r="R24" s="942"/>
      <c r="S24" s="942" t="s">
        <v>745</v>
      </c>
      <c r="T24" s="942"/>
      <c r="U24" s="942"/>
      <c r="V24" s="942"/>
      <c r="W24" s="942"/>
      <c r="X24" s="942"/>
      <c r="Y24" s="942"/>
    </row>
    <row r="25" spans="1:25" ht="45" customHeight="1">
      <c r="A25" s="908" t="s">
        <v>81</v>
      </c>
      <c r="B25" s="908"/>
      <c r="C25" s="905" t="s">
        <v>732</v>
      </c>
      <c r="D25" s="905"/>
      <c r="E25" s="905"/>
      <c r="F25" s="905"/>
      <c r="G25" s="905"/>
      <c r="H25" s="905"/>
      <c r="I25" s="905"/>
      <c r="J25" s="905"/>
      <c r="K25" s="905"/>
      <c r="L25" s="905" t="s">
        <v>732</v>
      </c>
      <c r="M25" s="905"/>
      <c r="N25" s="905"/>
      <c r="O25" s="905"/>
      <c r="P25" s="905"/>
      <c r="Q25" s="905"/>
      <c r="R25" s="905"/>
      <c r="S25" s="905" t="s">
        <v>746</v>
      </c>
      <c r="T25" s="905"/>
      <c r="U25" s="905"/>
      <c r="V25" s="905"/>
      <c r="W25" s="905"/>
      <c r="X25" s="905"/>
      <c r="Y25" s="905"/>
    </row>
    <row r="26" spans="1:25" ht="45" customHeight="1">
      <c r="A26" s="908" t="s">
        <v>80</v>
      </c>
      <c r="B26" s="908"/>
      <c r="C26" s="905" t="s">
        <v>747</v>
      </c>
      <c r="D26" s="905"/>
      <c r="E26" s="905"/>
      <c r="F26" s="905"/>
      <c r="G26" s="905"/>
      <c r="H26" s="905"/>
      <c r="I26" s="905"/>
      <c r="J26" s="905"/>
      <c r="K26" s="905"/>
      <c r="L26" s="905" t="s">
        <v>748</v>
      </c>
      <c r="M26" s="905"/>
      <c r="N26" s="905"/>
      <c r="O26" s="905"/>
      <c r="P26" s="905"/>
      <c r="Q26" s="905"/>
      <c r="R26" s="905"/>
      <c r="S26" s="905" t="s">
        <v>749</v>
      </c>
      <c r="T26" s="905"/>
      <c r="U26" s="905"/>
      <c r="V26" s="905"/>
      <c r="W26" s="905"/>
      <c r="X26" s="905"/>
      <c r="Y26" s="905"/>
    </row>
    <row r="27" spans="1:25" ht="45" customHeight="1">
      <c r="A27" s="907" t="s">
        <v>542</v>
      </c>
      <c r="B27" s="907"/>
      <c r="C27" s="905" t="s">
        <v>750</v>
      </c>
      <c r="D27" s="905"/>
      <c r="E27" s="905"/>
      <c r="F27" s="905"/>
      <c r="G27" s="905"/>
      <c r="H27" s="905"/>
      <c r="I27" s="905"/>
      <c r="J27" s="905"/>
      <c r="K27" s="905"/>
      <c r="L27" s="905" t="s">
        <v>751</v>
      </c>
      <c r="M27" s="905"/>
      <c r="N27" s="905"/>
      <c r="O27" s="905"/>
      <c r="P27" s="905"/>
      <c r="Q27" s="905"/>
      <c r="R27" s="905"/>
      <c r="S27" s="905" t="s">
        <v>752</v>
      </c>
      <c r="T27" s="905"/>
      <c r="U27" s="905"/>
      <c r="V27" s="905"/>
      <c r="W27" s="905"/>
      <c r="X27" s="905"/>
      <c r="Y27" s="905"/>
    </row>
    <row r="30" spans="1:25">
      <c r="D30" s="394"/>
    </row>
    <row r="32" spans="1:25">
      <c r="I32" s="396"/>
      <c r="J32" s="396"/>
      <c r="K32" s="396"/>
    </row>
    <row r="33" spans="9:11" ht="15.75">
      <c r="I33" s="397"/>
      <c r="J33" s="398"/>
      <c r="K33" s="395"/>
    </row>
    <row r="34" spans="9:11">
      <c r="I34" s="396"/>
      <c r="J34" s="395"/>
    </row>
    <row r="35" spans="9:11">
      <c r="I35" s="396"/>
    </row>
  </sheetData>
  <mergeCells count="55">
    <mergeCell ref="A21:Y21"/>
    <mergeCell ref="C22:K22"/>
    <mergeCell ref="L22:R22"/>
    <mergeCell ref="S22:Y22"/>
    <mergeCell ref="A23:B23"/>
    <mergeCell ref="C23:K23"/>
    <mergeCell ref="L23:R23"/>
    <mergeCell ref="S23:Y23"/>
    <mergeCell ref="A27:B27"/>
    <mergeCell ref="C27:K27"/>
    <mergeCell ref="L27:R27"/>
    <mergeCell ref="S27:Y27"/>
    <mergeCell ref="A24:B24"/>
    <mergeCell ref="C24:K24"/>
    <mergeCell ref="L24:R24"/>
    <mergeCell ref="S24:Y24"/>
    <mergeCell ref="A25:B25"/>
    <mergeCell ref="C25:K25"/>
    <mergeCell ref="L25:R25"/>
    <mergeCell ref="S25:Y25"/>
    <mergeCell ref="A26:B26"/>
    <mergeCell ref="C26:K26"/>
    <mergeCell ref="L26:R26"/>
    <mergeCell ref="S26:Y26"/>
    <mergeCell ref="A13:M14"/>
    <mergeCell ref="N13:Y14"/>
    <mergeCell ref="A16:M17"/>
    <mergeCell ref="N16:Y17"/>
    <mergeCell ref="N18:Q19"/>
    <mergeCell ref="F18:M18"/>
    <mergeCell ref="R18:Y19"/>
    <mergeCell ref="C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DB728-0231-48DD-A69C-F45B8D6798BA}">
  <sheetPr>
    <tabColor theme="0"/>
  </sheetPr>
  <dimension ref="A1:Y35"/>
  <sheetViews>
    <sheetView zoomScale="85" zoomScaleNormal="85" workbookViewId="0">
      <selection activeCell="J15" sqref="J15"/>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756</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3) Assurer le confort dans un milieu urbain</v>
      </c>
      <c r="C2" s="886"/>
      <c r="D2" s="886"/>
      <c r="E2" s="886"/>
      <c r="F2" s="886"/>
      <c r="G2" s="886"/>
      <c r="H2" s="886"/>
      <c r="I2" s="886"/>
      <c r="J2" s="886"/>
      <c r="K2" s="886"/>
      <c r="L2" s="886"/>
      <c r="M2" s="887"/>
      <c r="N2" s="407" t="str">
        <f>INDEX(Problématiques_compétences!$B$3:$D$118,MATCH(A1,Problématiques_compétences!$D$3:$D$118,0),1)</f>
        <v>Comment gérer les contraintes de conception d'un système domotique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CS 1.8</v>
      </c>
      <c r="B4" s="872" t="str">
        <f ca="1">INDEX(Programme!$B$4:$C$46,MATCH(A4,Programme!$B$4:$B$46,0),2)</f>
        <v>► Utiliser une modélisation pour comprendre, formaliser, partager, construire, investiguer, prouver.</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MSOST.2.1</v>
      </c>
      <c r="L4" s="873" t="str">
        <f ca="1">IFERROR(INDEX(Programme!$I$7:$J$94,MATCH($K4,Programme!$I$7:$I$94,0),2),"")</f>
        <v>Utiliser une modélisation pour comprendre, formaliser, partager, construire, investiguer, prouver.</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 xml:space="preserve">Outils de description d’un fonctionnement, d’une structure et d’un comportement. </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2.4</v>
      </c>
      <c r="B6" s="872" t="str">
        <f ca="1">IFERROR(INDEX(Programme!$B$4:$C$46,MATCH(A6,Programme!$B$4:$B$46,0),2),"")</f>
        <v>► Associer des solutions techniques à des fonctions.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MSOST.1.2</v>
      </c>
      <c r="L6" s="873" t="str">
        <f ca="1">IFERROR(INDEX(Programme!$I$7:$J$94,MATCH($K6,Programme!$I$7:$I$94,0),2),"")</f>
        <v>Associer des solutions techniques à des fonctions.</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Analyse fonctionnelle systémique.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3.2</v>
      </c>
      <c r="B8" s="872" t="str">
        <f ca="1">IFERROR(INDEX(Programme!$B$4:$C$46,MATCH(A8,Programme!$B$4:$B$46,0),2),"")</f>
        <v>► Traduire, à l’aide d’outils de représentation numérique, des choix de solutions sous forme de croquis, de dessins ou de schémas.</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DIC.1.5</v>
      </c>
      <c r="L8" s="873" t="str">
        <f ca="1">IFERROR(INDEX(Programme!$I$7:$J$94,MATCH($K8,Programme!$I$7:$I$94,0),2),"")</f>
        <v>Imaginer des solutions pour produire des objets et des éléments de programmes informatiques en réponse au besoin.</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Design. Innovation et créativité. Veille. Représentation de solutions (croquis, schémas, algorithmes). Réalité augmentée. Objets connectés.</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OTSCIS.2.2</v>
      </c>
      <c r="L9" s="879" t="str">
        <f ca="1">IFERROR(INDEX(Programme!$I$7:$J$94,MATCH($K9,Programme!$I$7:$I$94,0),2),"")</f>
        <v>Lire, utiliser et produire, à l’aide d’outils de représentation numérique, des choix de solutions sous forme de dessins ou de schémas.</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Outils numériques de description des objets techniques.</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5.1</v>
      </c>
      <c r="B10" s="872" t="str">
        <f ca="1">IFERROR(INDEX(Programme!$B$4:$C$46,MATCH(A10,Programme!$B$4:$B$46,0),2),"")</f>
        <v>► Simuler numériquement la structure et/ou le comportement d’un objet.</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MSOST.2.2</v>
      </c>
      <c r="L10" s="873" t="str">
        <f ca="1">IFERROR(INDEX(Programme!$I$7:$J$94,MATCH($K10,Programme!$I$7:$I$94,0),2),"")</f>
        <v>Simuler numériquement la structure et/ou le comportement d’un objet. Interpréter le comportement de l’objet technique et le communiquer en argumentant.</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Notions d’écarts entre les attentes fixées par le cahier des charges et les résultats de la simulation.</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757</v>
      </c>
      <c r="B13" s="852"/>
      <c r="C13" s="852"/>
      <c r="D13" s="852"/>
      <c r="E13" s="852"/>
      <c r="F13" s="852"/>
      <c r="G13" s="852"/>
      <c r="H13" s="852"/>
      <c r="I13" s="852"/>
      <c r="J13" s="852"/>
      <c r="K13" s="852"/>
      <c r="L13" s="852"/>
      <c r="M13" s="853"/>
      <c r="N13" s="857" t="s">
        <v>758</v>
      </c>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759</v>
      </c>
      <c r="B16" s="858"/>
      <c r="C16" s="858"/>
      <c r="D16" s="858"/>
      <c r="E16" s="858"/>
      <c r="F16" s="858"/>
      <c r="G16" s="858"/>
      <c r="H16" s="858"/>
      <c r="I16" s="858"/>
      <c r="J16" s="858"/>
      <c r="K16" s="858"/>
      <c r="L16" s="858"/>
      <c r="M16" s="859"/>
      <c r="N16" s="857" t="s">
        <v>760</v>
      </c>
      <c r="O16" s="858"/>
      <c r="P16" s="858"/>
      <c r="Q16" s="858"/>
      <c r="R16" s="858"/>
      <c r="S16" s="858"/>
      <c r="T16" s="858"/>
      <c r="U16" s="858"/>
      <c r="V16" s="858"/>
      <c r="W16" s="858"/>
      <c r="X16" s="858"/>
      <c r="Y16" s="859"/>
    </row>
    <row r="17" spans="1:25" ht="30"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t="s">
        <v>761</v>
      </c>
      <c r="G18" s="434"/>
      <c r="H18" s="434"/>
      <c r="I18" s="434"/>
      <c r="J18" s="434"/>
      <c r="K18" s="433"/>
      <c r="L18" s="431"/>
      <c r="M18" s="446"/>
      <c r="N18" s="866" t="s">
        <v>382</v>
      </c>
      <c r="O18" s="867"/>
      <c r="P18" s="867"/>
      <c r="Q18" s="867"/>
      <c r="R18" s="870" t="s">
        <v>762</v>
      </c>
      <c r="S18" s="870"/>
      <c r="T18" s="870"/>
      <c r="U18" s="870"/>
      <c r="V18" s="870" t="s">
        <v>763</v>
      </c>
      <c r="W18" s="870"/>
      <c r="X18" s="870"/>
      <c r="Y18" s="871"/>
    </row>
    <row r="19" spans="1:25" ht="26.25" customHeight="1" thickBot="1">
      <c r="A19" s="455" t="s">
        <v>764</v>
      </c>
      <c r="B19" s="447"/>
      <c r="C19" s="447"/>
      <c r="D19" s="447"/>
      <c r="E19" s="447"/>
      <c r="F19" s="447"/>
      <c r="G19" s="447"/>
      <c r="H19" s="448"/>
      <c r="I19" s="448"/>
      <c r="J19" s="448"/>
      <c r="K19" s="449"/>
      <c r="L19" s="449"/>
      <c r="M19" s="450"/>
      <c r="N19" s="868"/>
      <c r="O19" s="869"/>
      <c r="P19" s="869"/>
      <c r="Q19" s="869"/>
      <c r="R19" s="864" t="s">
        <v>765</v>
      </c>
      <c r="S19" s="864"/>
      <c r="T19" s="864"/>
      <c r="U19" s="864"/>
      <c r="V19" s="892" t="s">
        <v>766</v>
      </c>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65.25" customHeight="1">
      <c r="A23" s="839" t="s">
        <v>78</v>
      </c>
      <c r="B23" s="850"/>
      <c r="C23" s="841" t="s">
        <v>767</v>
      </c>
      <c r="D23" s="842"/>
      <c r="E23" s="842"/>
      <c r="F23" s="842"/>
      <c r="G23" s="842"/>
      <c r="H23" s="842"/>
      <c r="I23" s="842"/>
      <c r="J23" s="842"/>
      <c r="K23" s="843"/>
      <c r="L23" s="842" t="s">
        <v>768</v>
      </c>
      <c r="M23" s="842"/>
      <c r="N23" s="842"/>
      <c r="O23" s="842"/>
      <c r="P23" s="842"/>
      <c r="Q23" s="842"/>
      <c r="R23" s="843"/>
      <c r="S23" s="841" t="s">
        <v>769</v>
      </c>
      <c r="T23" s="842"/>
      <c r="U23" s="842"/>
      <c r="V23" s="842"/>
      <c r="W23" s="842"/>
      <c r="X23" s="842"/>
      <c r="Y23" s="843"/>
    </row>
    <row r="24" spans="1:25" ht="45" customHeight="1">
      <c r="A24" s="844" t="s">
        <v>79</v>
      </c>
      <c r="B24" s="845"/>
      <c r="C24" s="841" t="s">
        <v>770</v>
      </c>
      <c r="D24" s="842"/>
      <c r="E24" s="842"/>
      <c r="F24" s="842"/>
      <c r="G24" s="842"/>
      <c r="H24" s="842"/>
      <c r="I24" s="842"/>
      <c r="J24" s="842"/>
      <c r="K24" s="843"/>
      <c r="L24" s="841" t="s">
        <v>771</v>
      </c>
      <c r="M24" s="842"/>
      <c r="N24" s="842"/>
      <c r="O24" s="842"/>
      <c r="P24" s="842"/>
      <c r="Q24" s="842"/>
      <c r="R24" s="843"/>
      <c r="S24" s="841" t="s">
        <v>772</v>
      </c>
      <c r="T24" s="842"/>
      <c r="U24" s="842"/>
      <c r="V24" s="842"/>
      <c r="W24" s="842"/>
      <c r="X24" s="842"/>
      <c r="Y24" s="843"/>
    </row>
    <row r="25" spans="1:25" ht="57" customHeight="1">
      <c r="A25" s="839" t="s">
        <v>81</v>
      </c>
      <c r="B25" s="840"/>
      <c r="C25" s="841" t="s">
        <v>773</v>
      </c>
      <c r="D25" s="842"/>
      <c r="E25" s="842"/>
      <c r="F25" s="842"/>
      <c r="G25" s="842"/>
      <c r="H25" s="842"/>
      <c r="I25" s="842"/>
      <c r="J25" s="842"/>
      <c r="K25" s="843"/>
      <c r="L25" s="841" t="s">
        <v>773</v>
      </c>
      <c r="M25" s="842"/>
      <c r="N25" s="842"/>
      <c r="O25" s="842"/>
      <c r="P25" s="842"/>
      <c r="Q25" s="842"/>
      <c r="R25" s="843"/>
      <c r="S25" s="841" t="s">
        <v>773</v>
      </c>
      <c r="T25" s="842"/>
      <c r="U25" s="842"/>
      <c r="V25" s="842"/>
      <c r="W25" s="842"/>
      <c r="X25" s="842"/>
      <c r="Y25" s="843"/>
    </row>
    <row r="26" spans="1:25" ht="60" customHeight="1">
      <c r="A26" s="839" t="s">
        <v>80</v>
      </c>
      <c r="B26" s="840"/>
      <c r="C26" s="841" t="s">
        <v>774</v>
      </c>
      <c r="D26" s="842"/>
      <c r="E26" s="842"/>
      <c r="F26" s="842"/>
      <c r="G26" s="842"/>
      <c r="H26" s="842"/>
      <c r="I26" s="842"/>
      <c r="J26" s="842"/>
      <c r="K26" s="843"/>
      <c r="L26" s="841" t="s">
        <v>775</v>
      </c>
      <c r="M26" s="842"/>
      <c r="N26" s="842"/>
      <c r="O26" s="842"/>
      <c r="P26" s="842"/>
      <c r="Q26" s="842"/>
      <c r="R26" s="843"/>
      <c r="S26" s="841" t="s">
        <v>776</v>
      </c>
      <c r="T26" s="842"/>
      <c r="U26" s="842"/>
      <c r="V26" s="842"/>
      <c r="W26" s="842"/>
      <c r="X26" s="842"/>
      <c r="Y26" s="843"/>
    </row>
    <row r="27" spans="1:25" ht="60" customHeight="1">
      <c r="A27" s="844" t="s">
        <v>335</v>
      </c>
      <c r="B27" s="845"/>
      <c r="C27" s="841" t="s">
        <v>777</v>
      </c>
      <c r="D27" s="842"/>
      <c r="E27" s="842"/>
      <c r="F27" s="842"/>
      <c r="G27" s="842"/>
      <c r="H27" s="842"/>
      <c r="I27" s="842"/>
      <c r="J27" s="842"/>
      <c r="K27" s="843"/>
      <c r="L27" s="841" t="s">
        <v>778</v>
      </c>
      <c r="M27" s="842"/>
      <c r="N27" s="842"/>
      <c r="O27" s="842"/>
      <c r="P27" s="842"/>
      <c r="Q27" s="842"/>
      <c r="R27" s="843"/>
      <c r="S27" s="841" t="s">
        <v>779</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641C0-181F-4AD6-ADC5-423CD25AE46F}">
  <sheetPr>
    <tabColor theme="0"/>
  </sheetPr>
  <dimension ref="A1:Y35"/>
  <sheetViews>
    <sheetView zoomScale="85" zoomScaleNormal="85" workbookViewId="0">
      <selection activeCell="S24" sqref="S24:Y24"/>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780</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PROJET N°3  : L'ordinateur Low Cost</v>
      </c>
      <c r="C2" s="886"/>
      <c r="D2" s="886"/>
      <c r="E2" s="886"/>
      <c r="F2" s="886"/>
      <c r="G2" s="886"/>
      <c r="H2" s="886"/>
      <c r="I2" s="886"/>
      <c r="J2" s="886"/>
      <c r="K2" s="886"/>
      <c r="L2" s="886"/>
      <c r="M2" s="887"/>
      <c r="N2" s="407" t="str">
        <f>INDEX(Problématiques_compétences!$B$3:$D$118,MATCH(A1,Problématiques_compétences!$D$3:$D$118,0),1)</f>
        <v>Appropriation du cahier des charges et recherche de solutions</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1.4</v>
      </c>
      <c r="B4" s="872" t="str">
        <f ca="1">INDEX(Programme!$B$4:$C$46,MATCH(A4,Programme!$B$4:$B$46,0),2)</f>
        <v>► Participer à l’organisation et au déroulement de projets.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DIC.1.4</v>
      </c>
      <c r="L4" s="873" t="str">
        <f ca="1">IFERROR(INDEX(Programme!$I$7:$J$94,MATCH($K4,Programme!$I$7:$I$94,0),2),"")</f>
        <v>Participer à l’organisation de projets, la définition des rôles, la planification (se projeter et anticiper) et aux revues de projet.</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Organisation d’un groupe de projet, rôle des participants, planning, revue de projets.</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2.2</v>
      </c>
      <c r="B6" s="872" t="str">
        <f ca="1">IFERROR(INDEX(Programme!$B$4:$C$46,MATCH(A6,Programme!$B$4:$B$46,0),2),"")</f>
        <v>► Identifier le(s) matériau(x), les flux d’énergie et d’information dans le cadre d’une production technique sur un objet et décrire les transformations qui s’opèrent.</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MSOST.1.4</v>
      </c>
      <c r="L6" s="873" t="str">
        <f ca="1">IFERROR(INDEX(Programme!$I$7:$J$94,MATCH($K6,Programme!$I$7:$I$94,0),2),"")</f>
        <v>Identifier le(s) matériau(x), les flux d’énergie et d’information sur un objet et décrire les transformations qui s’opèrent.</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Familles de matériaux avec leurs principales caractéristiques. Sources d’énergies. Chaîne d’énergie. Chaîne d’information.</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5.2</v>
      </c>
      <c r="B8" s="872" t="str">
        <f ca="1">IFERROR(INDEX(Programme!$B$4:$C$46,MATCH(A8,Programme!$B$4:$B$46,0),2),"")</f>
        <v>► Organiser, structurer et stocker des ressources numériques.</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DIC.1.6</v>
      </c>
      <c r="L8" s="873" t="str">
        <f ca="1">IFERROR(INDEX(Programme!$I$7:$J$94,MATCH($K8,Programme!$I$7:$I$94,0),2),"")</f>
        <v>Organiser, structurer et stocker des ressources numériques.</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Arborescence.</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6.3</v>
      </c>
      <c r="B10" s="872" t="str">
        <f ca="1">IFERROR(INDEX(Programme!$B$4:$C$46,MATCH(A10,Programme!$B$4:$B$46,0),2),"")</f>
        <v>► Analyser le cycle de vie d’un objet.</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OTSCIS.1.1</v>
      </c>
      <c r="L10" s="873" t="str">
        <f ca="1">IFERROR(INDEX(Programme!$I$7:$J$94,MATCH($K10,Programme!$I$7:$I$94,0),2),"")</f>
        <v>Regrouper des objets en familles et lignées.</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L’évolution des objets. Impacts sociétaux et environnementaux dus aux objets. Cycle de vie. Les règles d’un usage raisonné des objets communicants respectant la propriété intellectuelle et l’intégrité d’autrui.</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782</v>
      </c>
      <c r="B13" s="852"/>
      <c r="C13" s="852"/>
      <c r="D13" s="852"/>
      <c r="E13" s="852"/>
      <c r="F13" s="852"/>
      <c r="G13" s="852"/>
      <c r="H13" s="852"/>
      <c r="I13" s="852"/>
      <c r="J13" s="852"/>
      <c r="K13" s="852"/>
      <c r="L13" s="852"/>
      <c r="M13" s="853"/>
      <c r="N13" s="857" t="s">
        <v>783</v>
      </c>
      <c r="O13" s="858"/>
      <c r="P13" s="858"/>
      <c r="Q13" s="858"/>
      <c r="R13" s="858"/>
      <c r="S13" s="858"/>
      <c r="T13" s="858"/>
      <c r="U13" s="858"/>
      <c r="V13" s="858"/>
      <c r="W13" s="858"/>
      <c r="X13" s="858"/>
      <c r="Y13" s="859"/>
    </row>
    <row r="14" spans="1:25" ht="56.2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784</v>
      </c>
      <c r="B16" s="858"/>
      <c r="C16" s="858"/>
      <c r="D16" s="858"/>
      <c r="E16" s="858"/>
      <c r="F16" s="858"/>
      <c r="G16" s="858"/>
      <c r="H16" s="858"/>
      <c r="I16" s="858"/>
      <c r="J16" s="858"/>
      <c r="K16" s="858"/>
      <c r="L16" s="858"/>
      <c r="M16" s="859"/>
      <c r="N16" s="857"/>
      <c r="O16" s="858"/>
      <c r="P16" s="858"/>
      <c r="Q16" s="858"/>
      <c r="R16" s="858"/>
      <c r="S16" s="858"/>
      <c r="T16" s="858"/>
      <c r="U16" s="858"/>
      <c r="V16" s="858"/>
      <c r="W16" s="858"/>
      <c r="X16" s="858"/>
      <c r="Y16" s="859"/>
    </row>
    <row r="17" spans="1:25" ht="30"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27" customHeight="1">
      <c r="A18" s="445" t="s">
        <v>73</v>
      </c>
      <c r="B18" s="434"/>
      <c r="C18" s="434"/>
      <c r="D18" s="434"/>
      <c r="E18" s="434"/>
      <c r="F18" s="434" t="s">
        <v>785</v>
      </c>
      <c r="G18" s="434"/>
      <c r="H18" s="434"/>
      <c r="I18" s="434"/>
      <c r="J18" s="434"/>
      <c r="K18" s="433"/>
      <c r="L18" s="431"/>
      <c r="M18" s="446"/>
      <c r="N18" s="866" t="s">
        <v>382</v>
      </c>
      <c r="O18" s="867"/>
      <c r="P18" s="867"/>
      <c r="Q18" s="867"/>
      <c r="R18" s="870" t="s">
        <v>786</v>
      </c>
      <c r="S18" s="870"/>
      <c r="T18" s="870"/>
      <c r="U18" s="870"/>
      <c r="V18" s="870"/>
      <c r="W18" s="870"/>
      <c r="X18" s="870"/>
      <c r="Y18" s="871"/>
    </row>
    <row r="19" spans="1:25" ht="35.25" customHeight="1" thickBot="1">
      <c r="A19" s="455" t="s">
        <v>465</v>
      </c>
      <c r="B19" s="447"/>
      <c r="C19" s="447"/>
      <c r="D19" s="447"/>
      <c r="E19" s="447"/>
      <c r="F19" s="447"/>
      <c r="G19" s="447"/>
      <c r="H19" s="448"/>
      <c r="I19" s="448"/>
      <c r="J19" s="448"/>
      <c r="K19" s="449"/>
      <c r="L19" s="449"/>
      <c r="M19" s="450"/>
      <c r="N19" s="868"/>
      <c r="O19" s="869"/>
      <c r="P19" s="869"/>
      <c r="Q19" s="869"/>
      <c r="R19" s="864"/>
      <c r="S19" s="864"/>
      <c r="T19" s="864"/>
      <c r="U19" s="864"/>
      <c r="V19" s="892"/>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47.25" customHeight="1">
      <c r="A23" s="839" t="s">
        <v>78</v>
      </c>
      <c r="B23" s="850"/>
      <c r="C23" s="841" t="s">
        <v>787</v>
      </c>
      <c r="D23" s="842"/>
      <c r="E23" s="842"/>
      <c r="F23" s="842"/>
      <c r="G23" s="842"/>
      <c r="H23" s="842"/>
      <c r="I23" s="842"/>
      <c r="J23" s="842"/>
      <c r="K23" s="843"/>
      <c r="L23" s="842" t="s">
        <v>788</v>
      </c>
      <c r="M23" s="842"/>
      <c r="N23" s="842"/>
      <c r="O23" s="842"/>
      <c r="P23" s="842"/>
      <c r="Q23" s="842"/>
      <c r="R23" s="843"/>
      <c r="S23" s="841"/>
      <c r="T23" s="842"/>
      <c r="U23" s="842"/>
      <c r="V23" s="842"/>
      <c r="W23" s="842"/>
      <c r="X23" s="842"/>
      <c r="Y23" s="843"/>
    </row>
    <row r="24" spans="1:25" ht="106.5" customHeight="1">
      <c r="A24" s="844" t="s">
        <v>79</v>
      </c>
      <c r="B24" s="845"/>
      <c r="C24" s="841" t="s">
        <v>789</v>
      </c>
      <c r="D24" s="842"/>
      <c r="E24" s="842"/>
      <c r="F24" s="842"/>
      <c r="G24" s="842"/>
      <c r="H24" s="842"/>
      <c r="I24" s="842"/>
      <c r="J24" s="842"/>
      <c r="K24" s="843"/>
      <c r="L24" s="841" t="s">
        <v>790</v>
      </c>
      <c r="M24" s="842"/>
      <c r="N24" s="842"/>
      <c r="O24" s="842"/>
      <c r="P24" s="842"/>
      <c r="Q24" s="842"/>
      <c r="R24" s="843"/>
      <c r="S24" s="841" t="s">
        <v>791</v>
      </c>
      <c r="T24" s="842"/>
      <c r="U24" s="842"/>
      <c r="V24" s="842"/>
      <c r="W24" s="842"/>
      <c r="X24" s="842"/>
      <c r="Y24" s="843"/>
    </row>
    <row r="25" spans="1:25" ht="45" customHeight="1">
      <c r="A25" s="839" t="s">
        <v>81</v>
      </c>
      <c r="B25" s="840"/>
      <c r="C25" s="841" t="s">
        <v>517</v>
      </c>
      <c r="D25" s="842"/>
      <c r="E25" s="842"/>
      <c r="F25" s="842"/>
      <c r="G25" s="842"/>
      <c r="H25" s="842"/>
      <c r="I25" s="842"/>
      <c r="J25" s="842"/>
      <c r="K25" s="843"/>
      <c r="L25" s="841" t="s">
        <v>551</v>
      </c>
      <c r="M25" s="842"/>
      <c r="N25" s="842"/>
      <c r="O25" s="842"/>
      <c r="P25" s="842"/>
      <c r="Q25" s="842"/>
      <c r="R25" s="843"/>
      <c r="S25" s="841" t="s">
        <v>551</v>
      </c>
      <c r="T25" s="842"/>
      <c r="U25" s="842"/>
      <c r="V25" s="842"/>
      <c r="W25" s="842"/>
      <c r="X25" s="842"/>
      <c r="Y25" s="843"/>
    </row>
    <row r="26" spans="1:25" ht="74.25" customHeight="1">
      <c r="A26" s="839" t="s">
        <v>80</v>
      </c>
      <c r="B26" s="840"/>
      <c r="C26" s="841" t="s">
        <v>792</v>
      </c>
      <c r="D26" s="842"/>
      <c r="E26" s="842"/>
      <c r="F26" s="842"/>
      <c r="G26" s="842"/>
      <c r="H26" s="842"/>
      <c r="I26" s="842"/>
      <c r="J26" s="842"/>
      <c r="K26" s="843"/>
      <c r="L26" s="841" t="s">
        <v>793</v>
      </c>
      <c r="M26" s="842"/>
      <c r="N26" s="842"/>
      <c r="O26" s="842"/>
      <c r="P26" s="842"/>
      <c r="Q26" s="842"/>
      <c r="R26" s="843"/>
      <c r="S26" s="841" t="s">
        <v>794</v>
      </c>
      <c r="T26" s="842"/>
      <c r="U26" s="842"/>
      <c r="V26" s="842"/>
      <c r="W26" s="842"/>
      <c r="X26" s="842"/>
      <c r="Y26" s="843"/>
    </row>
    <row r="27" spans="1:25" ht="45" customHeight="1">
      <c r="A27" s="844" t="s">
        <v>335</v>
      </c>
      <c r="B27" s="845"/>
      <c r="C27" s="841" t="s">
        <v>795</v>
      </c>
      <c r="D27" s="842"/>
      <c r="E27" s="842"/>
      <c r="F27" s="842"/>
      <c r="G27" s="842"/>
      <c r="H27" s="842"/>
      <c r="I27" s="842"/>
      <c r="J27" s="842"/>
      <c r="K27" s="843"/>
      <c r="L27" s="841" t="s">
        <v>796</v>
      </c>
      <c r="M27" s="842"/>
      <c r="N27" s="842"/>
      <c r="O27" s="842"/>
      <c r="P27" s="842"/>
      <c r="Q27" s="842"/>
      <c r="R27" s="843"/>
      <c r="S27" s="841" t="s">
        <v>797</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B08C5-30EF-412C-AA7F-A7EBAB9BE6DC}">
  <sheetPr>
    <tabColor theme="0"/>
  </sheetPr>
  <dimension ref="A1:Y35"/>
  <sheetViews>
    <sheetView zoomScale="85" zoomScaleNormal="85" workbookViewId="0">
      <selection activeCell="N28" sqref="N28"/>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781</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PROJET N°3  : L'ordinateur Low Cost</v>
      </c>
      <c r="C2" s="886"/>
      <c r="D2" s="886"/>
      <c r="E2" s="886"/>
      <c r="F2" s="886"/>
      <c r="G2" s="886"/>
      <c r="H2" s="886"/>
      <c r="I2" s="886"/>
      <c r="J2" s="886"/>
      <c r="K2" s="886"/>
      <c r="L2" s="886"/>
      <c r="M2" s="887"/>
      <c r="N2" s="407" t="str">
        <f>INDEX(Problématiques_compétences!$B$3:$D$118,MATCH(A1,Problématiques_compétences!$D$3:$D$118,0),1)</f>
        <v>Réalisation - test et validation</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CS 1.5</v>
      </c>
      <c r="B4" s="872" t="str">
        <f ca="1">INDEX(Programme!$B$4:$C$46,MATCH(A4,Programme!$B$4:$B$46,0),2)</f>
        <v>► Respecter une procédure de travail garantissant un résultat en respectant les règles de sécurité et d’utilisation des outils mis à disposition.</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MSOST.1.1</v>
      </c>
      <c r="L4" s="873" t="str">
        <f ca="1">IFERROR(INDEX(Programme!$I$7:$J$94,MATCH($K4,Programme!$I$7:$I$94,0),2),"")</f>
        <v>Respecter une procédure de travail garantissant un résultat en respectant les règles de sécurité et d’utilisation des outils mis à disposition.</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Procédures, protocoles. Ergonomie.</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CS 5.6</v>
      </c>
      <c r="B6" s="872" t="str">
        <f ca="1">IFERROR(INDEX(Programme!$B$4:$C$46,MATCH(A6,Programme!$B$4:$B$46,0),2),"")</f>
        <v>► Comprendre le fonctionnement d’un réseau informatique.</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IP.1.1</v>
      </c>
      <c r="L6" s="873" t="str">
        <f ca="1">IFERROR(INDEX(Programme!$I$7:$J$94,MATCH($K6,Programme!$I$7:$I$94,0),2),"")</f>
        <v>Comprendre le fonctionnement d'un réseau informatique</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Composants d'un réseau, architecture d'un réseau local, moyens de connexion d’un moyen informatique. Notion de protocole, d'organisation de protocoles en couche, d'algorithme de routage, Internet.</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
      </c>
      <c r="B8" s="872" t="str">
        <f ca="1">IFERROR(INDEX(Programme!$B$4:$C$46,MATCH(A8,Programme!$B$4:$B$46,0),2),"")</f>
        <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
      </c>
      <c r="L8" s="873" t="str">
        <f ca="1">IFERROR(INDEX(Programme!$I$7:$J$94,MATCH($K8,Programme!$I$7:$I$94,0),2),"")</f>
        <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872" t="str">
        <f ca="1">IFERROR(INDEX(Programme!$B$4:$C$46,MATCH(A10,Programme!$B$4:$B$46,0),2),"")</f>
        <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
      </c>
      <c r="L10" s="873" t="str">
        <f ca="1">IFERROR(INDEX(Programme!$I$7:$J$94,MATCH($K10,Programme!$I$7:$I$94,0),2),"")</f>
        <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798</v>
      </c>
      <c r="B13" s="852"/>
      <c r="C13" s="852"/>
      <c r="D13" s="852"/>
      <c r="E13" s="852"/>
      <c r="F13" s="852"/>
      <c r="G13" s="852"/>
      <c r="H13" s="852"/>
      <c r="I13" s="852"/>
      <c r="J13" s="852"/>
      <c r="K13" s="852"/>
      <c r="L13" s="852"/>
      <c r="M13" s="853"/>
      <c r="N13" s="857" t="s">
        <v>799</v>
      </c>
      <c r="O13" s="858"/>
      <c r="P13" s="858"/>
      <c r="Q13" s="858"/>
      <c r="R13" s="858"/>
      <c r="S13" s="858"/>
      <c r="T13" s="858"/>
      <c r="U13" s="858"/>
      <c r="V13" s="858"/>
      <c r="W13" s="858"/>
      <c r="X13" s="858"/>
      <c r="Y13" s="859"/>
    </row>
    <row r="14" spans="1:25" ht="76.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800</v>
      </c>
      <c r="B16" s="858"/>
      <c r="C16" s="858"/>
      <c r="D16" s="858"/>
      <c r="E16" s="858"/>
      <c r="F16" s="858"/>
      <c r="G16" s="858"/>
      <c r="H16" s="858"/>
      <c r="I16" s="858"/>
      <c r="J16" s="858"/>
      <c r="K16" s="858"/>
      <c r="L16" s="858"/>
      <c r="M16" s="859"/>
      <c r="N16" s="857" t="s">
        <v>801</v>
      </c>
      <c r="O16" s="858"/>
      <c r="P16" s="858"/>
      <c r="Q16" s="858"/>
      <c r="R16" s="858"/>
      <c r="S16" s="858"/>
      <c r="T16" s="858"/>
      <c r="U16" s="858"/>
      <c r="V16" s="858"/>
      <c r="W16" s="858"/>
      <c r="X16" s="858"/>
      <c r="Y16" s="859"/>
    </row>
    <row r="17" spans="1:25" ht="39"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23.25" customHeight="1">
      <c r="A18" s="445" t="s">
        <v>73</v>
      </c>
      <c r="B18" s="434"/>
      <c r="C18" s="434"/>
      <c r="D18" s="434"/>
      <c r="E18" s="434"/>
      <c r="F18" s="434" t="s">
        <v>802</v>
      </c>
      <c r="G18" s="434"/>
      <c r="H18" s="434"/>
      <c r="I18" s="434"/>
      <c r="J18" s="434"/>
      <c r="K18" s="433"/>
      <c r="L18" s="431"/>
      <c r="M18" s="446"/>
      <c r="N18" s="866" t="s">
        <v>382</v>
      </c>
      <c r="O18" s="867"/>
      <c r="P18" s="867"/>
      <c r="Q18" s="867"/>
      <c r="R18" s="870"/>
      <c r="S18" s="870"/>
      <c r="T18" s="870"/>
      <c r="U18" s="870"/>
      <c r="V18" s="870"/>
      <c r="W18" s="870"/>
      <c r="X18" s="870"/>
      <c r="Y18" s="871"/>
    </row>
    <row r="19" spans="1:25" ht="39.75" customHeight="1" thickBot="1">
      <c r="A19" s="455" t="s">
        <v>465</v>
      </c>
      <c r="B19" s="447"/>
      <c r="C19" s="447"/>
      <c r="D19" s="993" t="s">
        <v>803</v>
      </c>
      <c r="E19" s="993"/>
      <c r="F19" s="993"/>
      <c r="G19" s="447"/>
      <c r="H19" s="890" t="s">
        <v>804</v>
      </c>
      <c r="I19" s="890"/>
      <c r="J19" s="890"/>
      <c r="K19" s="890" t="s">
        <v>805</v>
      </c>
      <c r="L19" s="890"/>
      <c r="M19" s="891"/>
      <c r="N19" s="868"/>
      <c r="O19" s="869"/>
      <c r="P19" s="869"/>
      <c r="Q19" s="869"/>
      <c r="R19" s="864" t="s">
        <v>806</v>
      </c>
      <c r="S19" s="864"/>
      <c r="T19" s="864"/>
      <c r="U19" s="864"/>
      <c r="V19" s="892"/>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807</v>
      </c>
      <c r="D23" s="842"/>
      <c r="E23" s="842"/>
      <c r="F23" s="842"/>
      <c r="G23" s="842"/>
      <c r="H23" s="842"/>
      <c r="I23" s="842"/>
      <c r="J23" s="842"/>
      <c r="K23" s="843"/>
      <c r="L23" s="842" t="s">
        <v>808</v>
      </c>
      <c r="M23" s="842"/>
      <c r="N23" s="842"/>
      <c r="O23" s="842"/>
      <c r="P23" s="842"/>
      <c r="Q23" s="842"/>
      <c r="R23" s="843"/>
      <c r="S23" s="841" t="s">
        <v>809</v>
      </c>
      <c r="T23" s="842"/>
      <c r="U23" s="842"/>
      <c r="V23" s="842"/>
      <c r="W23" s="842"/>
      <c r="X23" s="842"/>
      <c r="Y23" s="843"/>
    </row>
    <row r="24" spans="1:25" ht="88.5" customHeight="1">
      <c r="A24" s="844" t="s">
        <v>79</v>
      </c>
      <c r="B24" s="845"/>
      <c r="C24" s="841" t="s">
        <v>810</v>
      </c>
      <c r="D24" s="842"/>
      <c r="E24" s="842"/>
      <c r="F24" s="842"/>
      <c r="G24" s="842"/>
      <c r="H24" s="842"/>
      <c r="I24" s="842"/>
      <c r="J24" s="842"/>
      <c r="K24" s="843"/>
      <c r="L24" s="841" t="s">
        <v>811</v>
      </c>
      <c r="M24" s="842"/>
      <c r="N24" s="842"/>
      <c r="O24" s="842"/>
      <c r="P24" s="842"/>
      <c r="Q24" s="842"/>
      <c r="R24" s="843"/>
      <c r="S24" s="841" t="s">
        <v>812</v>
      </c>
      <c r="T24" s="842"/>
      <c r="U24" s="842"/>
      <c r="V24" s="842"/>
      <c r="W24" s="842"/>
      <c r="X24" s="842"/>
      <c r="Y24" s="843"/>
    </row>
    <row r="25" spans="1:25" ht="45" customHeight="1">
      <c r="A25" s="839" t="s">
        <v>81</v>
      </c>
      <c r="B25" s="840"/>
      <c r="C25" s="841" t="s">
        <v>551</v>
      </c>
      <c r="D25" s="842"/>
      <c r="E25" s="842"/>
      <c r="F25" s="842"/>
      <c r="G25" s="842"/>
      <c r="H25" s="842"/>
      <c r="I25" s="842"/>
      <c r="J25" s="842"/>
      <c r="K25" s="843"/>
      <c r="L25" s="841" t="s">
        <v>551</v>
      </c>
      <c r="M25" s="842"/>
      <c r="N25" s="842"/>
      <c r="O25" s="842"/>
      <c r="P25" s="842"/>
      <c r="Q25" s="842"/>
      <c r="R25" s="843"/>
      <c r="S25" s="841" t="s">
        <v>813</v>
      </c>
      <c r="T25" s="842"/>
      <c r="U25" s="842"/>
      <c r="V25" s="842"/>
      <c r="W25" s="842"/>
      <c r="X25" s="842"/>
      <c r="Y25" s="843"/>
    </row>
    <row r="26" spans="1:25" ht="45" customHeight="1">
      <c r="A26" s="839" t="s">
        <v>80</v>
      </c>
      <c r="B26" s="840"/>
      <c r="C26" s="841" t="s">
        <v>814</v>
      </c>
      <c r="D26" s="842"/>
      <c r="E26" s="842"/>
      <c r="F26" s="842"/>
      <c r="G26" s="842"/>
      <c r="H26" s="842"/>
      <c r="I26" s="842"/>
      <c r="J26" s="842"/>
      <c r="K26" s="843"/>
      <c r="L26" s="841" t="s">
        <v>815</v>
      </c>
      <c r="M26" s="842"/>
      <c r="N26" s="842"/>
      <c r="O26" s="842"/>
      <c r="P26" s="842"/>
      <c r="Q26" s="842"/>
      <c r="R26" s="843"/>
      <c r="S26" s="841" t="s">
        <v>816</v>
      </c>
      <c r="T26" s="842"/>
      <c r="U26" s="842"/>
      <c r="V26" s="842"/>
      <c r="W26" s="842"/>
      <c r="X26" s="842"/>
      <c r="Y26" s="843"/>
    </row>
    <row r="27" spans="1:25" ht="45" customHeight="1">
      <c r="A27" s="844" t="s">
        <v>335</v>
      </c>
      <c r="B27" s="845"/>
      <c r="C27" s="841" t="s">
        <v>817</v>
      </c>
      <c r="D27" s="842"/>
      <c r="E27" s="842"/>
      <c r="F27" s="842"/>
      <c r="G27" s="842"/>
      <c r="H27" s="842"/>
      <c r="I27" s="842"/>
      <c r="J27" s="842"/>
      <c r="K27" s="843"/>
      <c r="L27" s="841" t="s">
        <v>818</v>
      </c>
      <c r="M27" s="842"/>
      <c r="N27" s="842"/>
      <c r="O27" s="842"/>
      <c r="P27" s="842"/>
      <c r="Q27" s="842"/>
      <c r="R27" s="843"/>
      <c r="S27" s="841" t="s">
        <v>819</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9">
    <mergeCell ref="A21:Y21"/>
    <mergeCell ref="C22:K22"/>
    <mergeCell ref="L22:R22"/>
    <mergeCell ref="S22:Y22"/>
    <mergeCell ref="A23:B23"/>
    <mergeCell ref="C23:K23"/>
    <mergeCell ref="L23:R23"/>
    <mergeCell ref="S23:Y23"/>
    <mergeCell ref="S26:Y26"/>
    <mergeCell ref="A27:B27"/>
    <mergeCell ref="C27:K27"/>
    <mergeCell ref="L27:R27"/>
    <mergeCell ref="S27:Y27"/>
    <mergeCell ref="A26:B26"/>
    <mergeCell ref="C26:K26"/>
    <mergeCell ref="L26:R26"/>
    <mergeCell ref="S24:Y24"/>
    <mergeCell ref="A25:B25"/>
    <mergeCell ref="C25:K25"/>
    <mergeCell ref="L25:R25"/>
    <mergeCell ref="S25:Y25"/>
    <mergeCell ref="A24:B24"/>
    <mergeCell ref="C24:K24"/>
    <mergeCell ref="L24:R24"/>
    <mergeCell ref="A13:M14"/>
    <mergeCell ref="N13:Y14"/>
    <mergeCell ref="A16:M17"/>
    <mergeCell ref="N16:Y17"/>
    <mergeCell ref="N18:Q19"/>
    <mergeCell ref="R18:U18"/>
    <mergeCell ref="V18:Y18"/>
    <mergeCell ref="R19:U19"/>
    <mergeCell ref="V19:Y19"/>
    <mergeCell ref="D19:F19"/>
    <mergeCell ref="H19:J19"/>
    <mergeCell ref="K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35E72-C33D-4602-AB18-0ADB1659FE5D}">
  <sheetPr>
    <tabColor theme="0"/>
  </sheetPr>
  <dimension ref="A1:AE35"/>
  <sheetViews>
    <sheetView zoomScale="85" zoomScaleNormal="85" workbookViewId="0">
      <selection activeCell="C25" sqref="C25:K25"/>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820</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PROJET N°4 : Comment optimiser les apports solaires sur le toit d'un immeuble ?</v>
      </c>
      <c r="C2" s="886"/>
      <c r="D2" s="886"/>
      <c r="E2" s="886"/>
      <c r="F2" s="886"/>
      <c r="G2" s="886"/>
      <c r="H2" s="886"/>
      <c r="I2" s="886"/>
      <c r="J2" s="886"/>
      <c r="K2" s="886"/>
      <c r="L2" s="886"/>
      <c r="M2" s="887"/>
      <c r="N2" s="407" t="str">
        <f>INDEX(Problématiques_compétences!$B$3:$D$118,MATCH(A1,Problématiques_compétences!$D$3:$D$118,0),1)</f>
        <v>Analyse du besoin et proposition d'une solution d'adaptation.</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1.4</v>
      </c>
      <c r="B4" s="872" t="str">
        <f ca="1">INDEX(Programme!$B$4:$C$46,MATCH(A4,Programme!$B$4:$B$46,0),2)</f>
        <v>► Participer à l’organisation et au déroulement de projets.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DIC.1.4</v>
      </c>
      <c r="L4" s="873" t="str">
        <f ca="1">IFERROR(INDEX(Programme!$I$7:$J$94,MATCH($K4,Programme!$I$7:$I$94,0),2),"")</f>
        <v>Participer à l’organisation de projets, la définition des rôles, la planification (se projeter et anticiper) et aux revues de projet.</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Organisation d’un groupe de projet, rôle des participants, planning, revue de projets.</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2.3</v>
      </c>
      <c r="B6" s="872" t="str">
        <f ca="1">IFERROR(INDEX(Programme!$B$4:$C$46,MATCH(A6,Programme!$B$4:$B$46,0),2),"")</f>
        <v>► S’approprier un cahier des charges.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DIC.1.2</v>
      </c>
      <c r="L6" s="873" t="str">
        <f ca="1">IFERROR(INDEX(Programme!$I$7:$J$94,MATCH($K6,Programme!$I$7:$I$94,0),2),"")</f>
        <v>Identifier les conditions, contraintes (normes et règlements) et ressources correspondantes, qualifier et quantifier simplement les performances d’un objet technique existant ou à créer.</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xml:space="preserve">Principaux éléments d’un cahier des charges. </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2.5</v>
      </c>
      <c r="B8" s="872" t="str">
        <f ca="1">IFERROR(INDEX(Programme!$B$4:$C$46,MATCH(A8,Programme!$B$4:$B$46,0),2),"")</f>
        <v>► Imaginer des solutions en réponse au besoin.</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DIC.1.5</v>
      </c>
      <c r="L8" s="873" t="str">
        <f ca="1">IFERROR(INDEX(Programme!$I$7:$J$94,MATCH($K8,Programme!$I$7:$I$94,0),2),"")</f>
        <v>Imaginer des solutions pour produire des objets et des éléments de programmes informatiques en réponse au besoin.</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Design. Innovation et créativité. Veille. Représentation de solutions (croquis, schémas, algorithmes). Réalité augmentée. Objets connectés.</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2.6</v>
      </c>
      <c r="B10" s="872" t="str">
        <f ca="1">IFERROR(INDEX(Programme!$B$4:$C$46,MATCH(A10,Programme!$B$4:$B$46,0),2),"")</f>
        <v>► Réaliser, de manière collaborative, le prototype de tout ou partie d’un objet pour valider une solution.</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DIC.2.1</v>
      </c>
      <c r="L10" s="873" t="str">
        <f ca="1">IFERROR(INDEX(Programme!$I$7:$J$94,MATCH($K10,Programme!$I$7:$I$94,0),2),"")</f>
        <v>Réaliser, de manière collaborative, le prototype d’un objet pour valider une solution.</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Prototypage rapide de structures et de circuits de commande à partir de cartes standard.</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MSOST.1.1</v>
      </c>
      <c r="L11" s="873" t="str">
        <f ca="1">IFERROR(INDEX(Programme!$I$7:$J$94,MATCH($K11,Programme!$I$7:$I$94,0),2),"")</f>
        <v>Respecter une procédure de travail garantissant un résultat en respectant les règles de sécurité et d’utilisation des outils mis à disposition.</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Procédures, protocoles. Ergonomie.</v>
      </c>
      <c r="S11" s="873"/>
      <c r="T11" s="873"/>
      <c r="U11" s="873"/>
      <c r="V11" s="873"/>
      <c r="W11" s="873"/>
      <c r="X11" s="873"/>
      <c r="Y11" s="877"/>
    </row>
    <row r="12" spans="1:25" ht="16.5" customHeight="1">
      <c r="A12" s="997" t="s">
        <v>70</v>
      </c>
      <c r="B12" s="997"/>
      <c r="C12" s="997"/>
      <c r="D12" s="997"/>
      <c r="E12" s="997"/>
      <c r="F12" s="997"/>
      <c r="G12" s="997"/>
      <c r="H12" s="997"/>
      <c r="I12" s="997"/>
      <c r="J12" s="997"/>
      <c r="K12" s="997"/>
      <c r="L12" s="997"/>
      <c r="M12" s="997"/>
      <c r="N12" s="998" t="s">
        <v>72</v>
      </c>
      <c r="O12" s="998"/>
      <c r="P12" s="998"/>
      <c r="Q12" s="998"/>
      <c r="R12" s="998"/>
      <c r="S12" s="998"/>
      <c r="T12" s="998"/>
      <c r="U12" s="998"/>
      <c r="V12" s="998"/>
      <c r="W12" s="998"/>
      <c r="X12" s="998"/>
      <c r="Y12" s="998"/>
    </row>
    <row r="13" spans="1:25" ht="30.75" customHeight="1">
      <c r="A13" s="894" t="s">
        <v>821</v>
      </c>
      <c r="B13" s="894"/>
      <c r="C13" s="894"/>
      <c r="D13" s="894"/>
      <c r="E13" s="894"/>
      <c r="F13" s="894"/>
      <c r="G13" s="894"/>
      <c r="H13" s="894"/>
      <c r="I13" s="894"/>
      <c r="J13" s="894"/>
      <c r="K13" s="894"/>
      <c r="L13" s="894"/>
      <c r="M13" s="894"/>
      <c r="N13" s="894" t="s">
        <v>822</v>
      </c>
      <c r="O13" s="894"/>
      <c r="P13" s="894"/>
      <c r="Q13" s="894"/>
      <c r="R13" s="894"/>
      <c r="S13" s="894"/>
      <c r="T13" s="894"/>
      <c r="U13" s="894"/>
      <c r="V13" s="894"/>
      <c r="W13" s="894"/>
      <c r="X13" s="894"/>
      <c r="Y13" s="894"/>
    </row>
    <row r="14" spans="1:25" ht="30.75" customHeight="1">
      <c r="A14" s="894"/>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row>
    <row r="15" spans="1:25" ht="16.5" customHeight="1">
      <c r="A15" s="999" t="s">
        <v>376</v>
      </c>
      <c r="B15" s="999"/>
      <c r="C15" s="999"/>
      <c r="D15" s="999"/>
      <c r="E15" s="999"/>
      <c r="F15" s="999"/>
      <c r="G15" s="999"/>
      <c r="H15" s="999"/>
      <c r="I15" s="999"/>
      <c r="J15" s="999"/>
      <c r="K15" s="999"/>
      <c r="L15" s="999"/>
      <c r="M15" s="999"/>
      <c r="N15" s="1000" t="s">
        <v>377</v>
      </c>
      <c r="O15" s="1000"/>
      <c r="P15" s="1000"/>
      <c r="Q15" s="1000"/>
      <c r="R15" s="1000"/>
      <c r="S15" s="1000"/>
      <c r="T15" s="1000"/>
      <c r="U15" s="1000"/>
      <c r="V15" s="1000"/>
      <c r="W15" s="1000"/>
      <c r="X15" s="1000"/>
      <c r="Y15" s="1000"/>
    </row>
    <row r="16" spans="1:25" ht="30" customHeight="1" thickBot="1">
      <c r="A16" s="895" t="s">
        <v>851</v>
      </c>
      <c r="B16" s="895"/>
      <c r="C16" s="895"/>
      <c r="D16" s="895"/>
      <c r="E16" s="895"/>
      <c r="F16" s="895"/>
      <c r="G16" s="895"/>
      <c r="H16" s="895"/>
      <c r="I16" s="895"/>
      <c r="J16" s="895"/>
      <c r="K16" s="895"/>
      <c r="L16" s="895"/>
      <c r="M16" s="895"/>
      <c r="N16" s="895" t="s">
        <v>824</v>
      </c>
      <c r="O16" s="895"/>
      <c r="P16" s="895"/>
      <c r="Q16" s="895"/>
      <c r="R16" s="895"/>
      <c r="S16" s="895"/>
      <c r="T16" s="895"/>
      <c r="U16" s="895"/>
      <c r="V16" s="895"/>
      <c r="W16" s="895"/>
      <c r="X16" s="895"/>
      <c r="Y16" s="895"/>
    </row>
    <row r="17" spans="1:31" ht="30" customHeight="1" thickBot="1">
      <c r="A17" s="895"/>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row>
    <row r="18" spans="1:31" ht="24.75" customHeight="1" thickBot="1">
      <c r="A18" s="997" t="s">
        <v>73</v>
      </c>
      <c r="B18" s="997"/>
      <c r="C18" s="997"/>
      <c r="D18" s="997"/>
      <c r="E18" s="997"/>
      <c r="F18" s="897" t="s">
        <v>852</v>
      </c>
      <c r="G18" s="897"/>
      <c r="H18" s="897"/>
      <c r="I18" s="897"/>
      <c r="J18" s="897"/>
      <c r="K18" s="897"/>
      <c r="L18" s="897"/>
      <c r="M18" s="897"/>
      <c r="N18" s="896" t="s">
        <v>382</v>
      </c>
      <c r="O18" s="896"/>
      <c r="P18" s="896"/>
      <c r="Q18" s="896"/>
      <c r="R18" s="897"/>
      <c r="S18" s="897"/>
      <c r="T18" s="897"/>
      <c r="U18" s="897"/>
      <c r="V18" s="898"/>
      <c r="W18" s="898"/>
      <c r="X18" s="898"/>
      <c r="Y18" s="898"/>
    </row>
    <row r="19" spans="1:31" ht="31.5" customHeight="1" thickBot="1">
      <c r="A19" s="995" t="s">
        <v>465</v>
      </c>
      <c r="B19" s="995"/>
      <c r="C19" s="941" t="s">
        <v>853</v>
      </c>
      <c r="D19" s="941"/>
      <c r="E19" s="941"/>
      <c r="F19" s="941"/>
      <c r="G19" s="941"/>
      <c r="H19" s="941"/>
      <c r="I19" s="941"/>
      <c r="J19" s="941"/>
      <c r="K19" s="941"/>
      <c r="L19" s="941"/>
      <c r="M19" s="941"/>
      <c r="N19" s="896"/>
      <c r="O19" s="896"/>
      <c r="P19" s="896"/>
      <c r="Q19" s="896"/>
      <c r="R19" s="899" t="s">
        <v>825</v>
      </c>
      <c r="S19" s="899"/>
      <c r="T19" s="899"/>
      <c r="U19" s="899"/>
      <c r="V19" s="994"/>
      <c r="W19" s="994"/>
      <c r="X19" s="994"/>
      <c r="Y19" s="994"/>
    </row>
    <row r="20" spans="1:31">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31"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31">
      <c r="A22" s="454"/>
      <c r="B22" s="427"/>
      <c r="C22" s="847" t="s">
        <v>827</v>
      </c>
      <c r="D22" s="848"/>
      <c r="E22" s="848"/>
      <c r="F22" s="848"/>
      <c r="G22" s="848"/>
      <c r="H22" s="848"/>
      <c r="I22" s="848"/>
      <c r="J22" s="848"/>
      <c r="K22" s="849"/>
      <c r="L22" s="848" t="s">
        <v>869</v>
      </c>
      <c r="M22" s="848"/>
      <c r="N22" s="848"/>
      <c r="O22" s="848"/>
      <c r="P22" s="848"/>
      <c r="Q22" s="848"/>
      <c r="R22" s="849"/>
      <c r="S22" s="847" t="s">
        <v>828</v>
      </c>
      <c r="T22" s="848"/>
      <c r="U22" s="848"/>
      <c r="V22" s="848"/>
      <c r="W22" s="848"/>
      <c r="X22" s="848"/>
      <c r="Y22" s="849"/>
      <c r="Z22" s="1004" t="s">
        <v>864</v>
      </c>
      <c r="AA22" s="1004"/>
      <c r="AB22" s="1004"/>
      <c r="AC22" s="1004"/>
      <c r="AD22" s="1004"/>
      <c r="AE22" s="1004"/>
    </row>
    <row r="23" spans="1:31" ht="33.75" customHeight="1">
      <c r="A23" s="839" t="s">
        <v>78</v>
      </c>
      <c r="B23" s="850"/>
      <c r="C23" s="841" t="s">
        <v>854</v>
      </c>
      <c r="D23" s="842"/>
      <c r="E23" s="842"/>
      <c r="F23" s="842"/>
      <c r="G23" s="842"/>
      <c r="H23" s="842"/>
      <c r="I23" s="842"/>
      <c r="J23" s="842"/>
      <c r="K23" s="843"/>
      <c r="L23" s="1001" t="s">
        <v>859</v>
      </c>
      <c r="M23" s="1002"/>
      <c r="N23" s="1002"/>
      <c r="O23" s="1002"/>
      <c r="P23" s="1002"/>
      <c r="Q23" s="1002"/>
      <c r="R23" s="1002"/>
      <c r="S23" s="1002"/>
      <c r="T23" s="1002"/>
      <c r="U23" s="1002"/>
      <c r="V23" s="1002"/>
      <c r="W23" s="1002"/>
      <c r="X23" s="1002"/>
      <c r="Y23" s="1003"/>
      <c r="Z23" s="996" t="s">
        <v>865</v>
      </c>
      <c r="AA23" s="996"/>
      <c r="AB23" s="996"/>
      <c r="AC23" s="996"/>
      <c r="AD23" s="996"/>
      <c r="AE23" s="996"/>
    </row>
    <row r="24" spans="1:31" ht="45" customHeight="1">
      <c r="A24" s="844" t="s">
        <v>79</v>
      </c>
      <c r="B24" s="845"/>
      <c r="C24" s="841" t="s">
        <v>855</v>
      </c>
      <c r="D24" s="842"/>
      <c r="E24" s="842"/>
      <c r="F24" s="842"/>
      <c r="G24" s="842"/>
      <c r="H24" s="842"/>
      <c r="I24" s="842"/>
      <c r="J24" s="842"/>
      <c r="K24" s="843"/>
      <c r="L24" s="1001" t="s">
        <v>860</v>
      </c>
      <c r="M24" s="1002"/>
      <c r="N24" s="1002"/>
      <c r="O24" s="1002"/>
      <c r="P24" s="1002"/>
      <c r="Q24" s="1002"/>
      <c r="R24" s="1002"/>
      <c r="S24" s="1002"/>
      <c r="T24" s="1002"/>
      <c r="U24" s="1002"/>
      <c r="V24" s="1002"/>
      <c r="W24" s="1002"/>
      <c r="X24" s="1002"/>
      <c r="Y24" s="1003"/>
      <c r="Z24" s="996" t="s">
        <v>866</v>
      </c>
      <c r="AA24" s="996"/>
      <c r="AB24" s="996"/>
      <c r="AC24" s="996"/>
      <c r="AD24" s="996"/>
      <c r="AE24" s="996"/>
    </row>
    <row r="25" spans="1:31" ht="45" customHeight="1">
      <c r="A25" s="839" t="s">
        <v>81</v>
      </c>
      <c r="B25" s="840"/>
      <c r="C25" s="841" t="s">
        <v>856</v>
      </c>
      <c r="D25" s="842"/>
      <c r="E25" s="842"/>
      <c r="F25" s="842"/>
      <c r="G25" s="842"/>
      <c r="H25" s="842"/>
      <c r="I25" s="842"/>
      <c r="J25" s="842"/>
      <c r="K25" s="843"/>
      <c r="L25" s="1001" t="s">
        <v>861</v>
      </c>
      <c r="M25" s="1002"/>
      <c r="N25" s="1002"/>
      <c r="O25" s="1002"/>
      <c r="P25" s="1002"/>
      <c r="Q25" s="1002"/>
      <c r="R25" s="1002"/>
      <c r="S25" s="1002"/>
      <c r="T25" s="1002"/>
      <c r="U25" s="1002"/>
      <c r="V25" s="1002"/>
      <c r="W25" s="1002"/>
      <c r="X25" s="1002"/>
      <c r="Y25" s="1003"/>
      <c r="Z25" s="996" t="s">
        <v>826</v>
      </c>
      <c r="AA25" s="996"/>
      <c r="AB25" s="996"/>
      <c r="AC25" s="996"/>
      <c r="AD25" s="996"/>
      <c r="AE25" s="996"/>
    </row>
    <row r="26" spans="1:31" ht="84.75" customHeight="1">
      <c r="A26" s="839" t="s">
        <v>80</v>
      </c>
      <c r="B26" s="840"/>
      <c r="C26" s="841" t="s">
        <v>857</v>
      </c>
      <c r="D26" s="842"/>
      <c r="E26" s="842"/>
      <c r="F26" s="842"/>
      <c r="G26" s="842"/>
      <c r="H26" s="842"/>
      <c r="I26" s="842"/>
      <c r="J26" s="842"/>
      <c r="K26" s="843"/>
      <c r="L26" s="1001" t="s">
        <v>862</v>
      </c>
      <c r="M26" s="1002"/>
      <c r="N26" s="1002"/>
      <c r="O26" s="1002"/>
      <c r="P26" s="1002"/>
      <c r="Q26" s="1002"/>
      <c r="R26" s="1002"/>
      <c r="S26" s="1002"/>
      <c r="T26" s="1002"/>
      <c r="U26" s="1002"/>
      <c r="V26" s="1002"/>
      <c r="W26" s="1002"/>
      <c r="X26" s="1002"/>
      <c r="Y26" s="1003"/>
      <c r="Z26" s="996" t="s">
        <v>867</v>
      </c>
      <c r="AA26" s="996"/>
      <c r="AB26" s="996"/>
      <c r="AC26" s="996"/>
      <c r="AD26" s="996"/>
      <c r="AE26" s="996"/>
    </row>
    <row r="27" spans="1:31" ht="45" customHeight="1">
      <c r="A27" s="844" t="s">
        <v>335</v>
      </c>
      <c r="B27" s="845"/>
      <c r="C27" s="841" t="s">
        <v>858</v>
      </c>
      <c r="D27" s="842"/>
      <c r="E27" s="842"/>
      <c r="F27" s="842"/>
      <c r="G27" s="842"/>
      <c r="H27" s="842"/>
      <c r="I27" s="842"/>
      <c r="J27" s="842"/>
      <c r="K27" s="843"/>
      <c r="L27" s="1001" t="s">
        <v>863</v>
      </c>
      <c r="M27" s="1002"/>
      <c r="N27" s="1002"/>
      <c r="O27" s="1002"/>
      <c r="P27" s="1002"/>
      <c r="Q27" s="1002"/>
      <c r="R27" s="1002"/>
      <c r="S27" s="1002"/>
      <c r="T27" s="1002"/>
      <c r="U27" s="1002"/>
      <c r="V27" s="1002"/>
      <c r="W27" s="1002"/>
      <c r="X27" s="1002"/>
      <c r="Y27" s="1003"/>
      <c r="Z27" s="996" t="s">
        <v>868</v>
      </c>
      <c r="AA27" s="996"/>
      <c r="AB27" s="996"/>
      <c r="AC27" s="996"/>
      <c r="AD27" s="996"/>
      <c r="AE27" s="996"/>
    </row>
    <row r="30" spans="1:31">
      <c r="D30" s="394"/>
    </row>
    <row r="32" spans="1:31">
      <c r="I32" s="396"/>
      <c r="J32" s="396"/>
      <c r="K32" s="396"/>
    </row>
    <row r="33" spans="9:11" ht="15.75">
      <c r="I33" s="397"/>
      <c r="J33" s="398"/>
      <c r="K33" s="395"/>
    </row>
    <row r="34" spans="9:11">
      <c r="I34" s="396"/>
      <c r="J34" s="395"/>
    </row>
    <row r="35" spans="9:11">
      <c r="I35" s="396"/>
    </row>
  </sheetData>
  <mergeCells count="65">
    <mergeCell ref="Z25:AE25"/>
    <mergeCell ref="Z26:AE26"/>
    <mergeCell ref="Z27:AE27"/>
    <mergeCell ref="C19:M19"/>
    <mergeCell ref="L23:Y23"/>
    <mergeCell ref="L24:Y24"/>
    <mergeCell ref="L25:Y25"/>
    <mergeCell ref="L26:Y26"/>
    <mergeCell ref="L27:Y27"/>
    <mergeCell ref="A21:Y21"/>
    <mergeCell ref="C22:K22"/>
    <mergeCell ref="L22:R22"/>
    <mergeCell ref="S22:Y22"/>
    <mergeCell ref="A23:B23"/>
    <mergeCell ref="C23:K23"/>
    <mergeCell ref="Z22:AE22"/>
    <mergeCell ref="Z23:AE23"/>
    <mergeCell ref="Z24:AE24"/>
    <mergeCell ref="A12:M12"/>
    <mergeCell ref="N12:Y12"/>
    <mergeCell ref="A15:M15"/>
    <mergeCell ref="N15:Y15"/>
    <mergeCell ref="A18:E18"/>
    <mergeCell ref="F18:M18"/>
    <mergeCell ref="A13:M14"/>
    <mergeCell ref="N13:Y14"/>
    <mergeCell ref="A16:M17"/>
    <mergeCell ref="N16:Y17"/>
    <mergeCell ref="N18:Q19"/>
    <mergeCell ref="R18:U18"/>
    <mergeCell ref="V18:Y18"/>
    <mergeCell ref="R19:U19"/>
    <mergeCell ref="V19:Y19"/>
    <mergeCell ref="A19:B19"/>
    <mergeCell ref="A26:B26"/>
    <mergeCell ref="C26:K26"/>
    <mergeCell ref="A27:B27"/>
    <mergeCell ref="C27:K27"/>
    <mergeCell ref="A24:B24"/>
    <mergeCell ref="C24:K24"/>
    <mergeCell ref="A25:B25"/>
    <mergeCell ref="C25:K25"/>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751EC-D81B-4BCB-80EC-A8E0A31D141A}">
  <sheetPr>
    <tabColor theme="0"/>
  </sheetPr>
  <dimension ref="A1:Y35"/>
  <sheetViews>
    <sheetView zoomScale="85" zoomScaleNormal="85" workbookViewId="0">
      <selection activeCell="A19" sqref="A19:B19"/>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829</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PROJET N°4 : Comment optimiser les apports solaires sur le toit d'un immeuble ?</v>
      </c>
      <c r="C2" s="886"/>
      <c r="D2" s="886"/>
      <c r="E2" s="886"/>
      <c r="F2" s="886"/>
      <c r="G2" s="886"/>
      <c r="H2" s="886"/>
      <c r="I2" s="886"/>
      <c r="J2" s="886"/>
      <c r="K2" s="886"/>
      <c r="L2" s="886"/>
      <c r="M2" s="887"/>
      <c r="N2" s="407" t="str">
        <f>INDEX(Problématiques_compétences!$B$3:$D$118,MATCH(A1,Problématiques_compétences!$D$3:$D$118,0),1)</f>
        <v>Description du fonctionnement (simulation) et programmation.</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1.4</v>
      </c>
      <c r="B4" s="872" t="str">
        <f ca="1">INDEX(Programme!$B$4:$C$46,MATCH(A4,Programme!$B$4:$B$46,0),2)</f>
        <v>► Participer à l’organisation et au déroulement de projets.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DIC.1.4</v>
      </c>
      <c r="L4" s="873" t="str">
        <f ca="1">IFERROR(INDEX(Programme!$I$7:$J$94,MATCH($K4,Programme!$I$7:$I$94,0),2),"")</f>
        <v>Participer à l’organisation de projets, la définition des rôles, la planification (se projeter et anticiper) et aux revues de projet.</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Organisation d’un groupe de projet, rôle des participants, planning, revue de projets.</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4.1</v>
      </c>
      <c r="B6" s="872" t="str">
        <f ca="1">IFERROR(INDEX(Programme!$B$4:$C$46,MATCH(A6,Programme!$B$4:$B$46,0),2),"")</f>
        <v>► Décrire, en utilisant les outils et langages de descriptions adaptés, la structure et le comportement des objets.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OTSCIS.1.4</v>
      </c>
      <c r="L6" s="873" t="str">
        <f ca="1">IFERROR(INDEX(Programme!$I$7:$J$94,MATCH($K6,Programme!$I$7:$I$94,0),2),"")</f>
        <v>Élaborer un document qui synthétise ces comparaisons et ces commentaires.</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Outils numériques de présentation. Charte graphique.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MSOST.1.5</v>
      </c>
      <c r="L7" s="879" t="str">
        <f ca="1">IFERROR(INDEX(Programme!$I$7:$J$94,MATCH($K7,Programme!$I$7:$I$94,0),2),"")</f>
        <v>Décrire, en utilisant les outils et langages de descriptions adaptés, le fonctionnement, la structure et le comportement des objets.</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Outils de description d’un fonctionnement, d’une structure et d’un comportement.</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5.1</v>
      </c>
      <c r="B8" s="872" t="str">
        <f ca="1">IFERROR(INDEX(Programme!$B$4:$C$46,MATCH(A8,Programme!$B$4:$B$46,0),2),"")</f>
        <v>► Simuler numériquement la structure et/ou le comportement d’un objet.</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MSOST.2.2</v>
      </c>
      <c r="L8" s="873" t="str">
        <f ca="1">IFERROR(INDEX(Programme!$I$7:$J$94,MATCH($K8,Programme!$I$7:$I$94,0),2),"")</f>
        <v>Simuler numériquement la structure et/ou le comportement d’un objet. Interpréter le comportement de l’objet technique et le communiquer en argumentant.</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Notions d’écarts entre les attentes fixées par le cahier des charges et les résultats de la simulation.</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5.4</v>
      </c>
      <c r="B10" s="872" t="str">
        <f ca="1">IFERROR(INDEX(Programme!$B$4:$C$46,MATCH(A10,Programme!$B$4:$B$46,0),2),"")</f>
        <v>► Piloter un système connecté localement ou à distance.</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IP.2.2</v>
      </c>
      <c r="L10" s="873" t="str">
        <f ca="1">IFERROR(INDEX(Programme!$I$7:$J$94,MATCH($K10,Programme!$I$7:$I$94,0),2),"")</f>
        <v>Écrire, mettre au point (tester, corriger) et exécuter un programme commandant un système réel et vérifier le comportement attendu.</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997" t="s">
        <v>70</v>
      </c>
      <c r="B12" s="997"/>
      <c r="C12" s="997"/>
      <c r="D12" s="997"/>
      <c r="E12" s="997"/>
      <c r="F12" s="997"/>
      <c r="G12" s="997"/>
      <c r="H12" s="997"/>
      <c r="I12" s="997"/>
      <c r="J12" s="997"/>
      <c r="K12" s="997"/>
      <c r="L12" s="997"/>
      <c r="M12" s="997"/>
      <c r="N12" s="998" t="s">
        <v>72</v>
      </c>
      <c r="O12" s="998"/>
      <c r="P12" s="998"/>
      <c r="Q12" s="998"/>
      <c r="R12" s="998"/>
      <c r="S12" s="998"/>
      <c r="T12" s="998"/>
      <c r="U12" s="998"/>
      <c r="V12" s="998"/>
      <c r="W12" s="998"/>
      <c r="X12" s="998"/>
      <c r="Y12" s="998"/>
    </row>
    <row r="13" spans="1:25" ht="30.75" customHeight="1">
      <c r="A13" s="894" t="s">
        <v>821</v>
      </c>
      <c r="B13" s="894"/>
      <c r="C13" s="894"/>
      <c r="D13" s="894"/>
      <c r="E13" s="894"/>
      <c r="F13" s="894"/>
      <c r="G13" s="894"/>
      <c r="H13" s="894"/>
      <c r="I13" s="894"/>
      <c r="J13" s="894"/>
      <c r="K13" s="894"/>
      <c r="L13" s="894"/>
      <c r="M13" s="894"/>
      <c r="N13" s="894" t="s">
        <v>822</v>
      </c>
      <c r="O13" s="894"/>
      <c r="P13" s="894"/>
      <c r="Q13" s="894"/>
      <c r="R13" s="894"/>
      <c r="S13" s="894"/>
      <c r="T13" s="894"/>
      <c r="U13" s="894"/>
      <c r="V13" s="894"/>
      <c r="W13" s="894"/>
      <c r="X13" s="894"/>
      <c r="Y13" s="894"/>
    </row>
    <row r="14" spans="1:25" ht="30.75" customHeight="1">
      <c r="A14" s="894"/>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row>
    <row r="15" spans="1:25" ht="16.5" customHeight="1">
      <c r="A15" s="999" t="s">
        <v>376</v>
      </c>
      <c r="B15" s="999"/>
      <c r="C15" s="999"/>
      <c r="D15" s="999"/>
      <c r="E15" s="999"/>
      <c r="F15" s="999"/>
      <c r="G15" s="999"/>
      <c r="H15" s="999"/>
      <c r="I15" s="999"/>
      <c r="J15" s="999"/>
      <c r="K15" s="999"/>
      <c r="L15" s="999"/>
      <c r="M15" s="999"/>
      <c r="N15" s="1000" t="s">
        <v>377</v>
      </c>
      <c r="O15" s="1000"/>
      <c r="P15" s="1000"/>
      <c r="Q15" s="1000"/>
      <c r="R15" s="1000"/>
      <c r="S15" s="1000"/>
      <c r="T15" s="1000"/>
      <c r="U15" s="1000"/>
      <c r="V15" s="1000"/>
      <c r="W15" s="1000"/>
      <c r="X15" s="1000"/>
      <c r="Y15" s="1000"/>
    </row>
    <row r="16" spans="1:25" ht="30" customHeight="1" thickBot="1">
      <c r="A16" s="895" t="s">
        <v>823</v>
      </c>
      <c r="B16" s="895"/>
      <c r="C16" s="895"/>
      <c r="D16" s="895"/>
      <c r="E16" s="895"/>
      <c r="F16" s="895"/>
      <c r="G16" s="895"/>
      <c r="H16" s="895"/>
      <c r="I16" s="895"/>
      <c r="J16" s="895"/>
      <c r="K16" s="895"/>
      <c r="L16" s="895"/>
      <c r="M16" s="895"/>
      <c r="N16" s="895" t="s">
        <v>824</v>
      </c>
      <c r="O16" s="895"/>
      <c r="P16" s="895"/>
      <c r="Q16" s="895"/>
      <c r="R16" s="895"/>
      <c r="S16" s="895"/>
      <c r="T16" s="895"/>
      <c r="U16" s="895"/>
      <c r="V16" s="895"/>
      <c r="W16" s="895"/>
      <c r="X16" s="895"/>
      <c r="Y16" s="895"/>
    </row>
    <row r="17" spans="1:25" ht="30" customHeight="1" thickBot="1">
      <c r="A17" s="895"/>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row>
    <row r="18" spans="1:25" ht="16.5" customHeight="1" thickBot="1">
      <c r="A18" s="997" t="s">
        <v>73</v>
      </c>
      <c r="B18" s="997"/>
      <c r="C18" s="997"/>
      <c r="D18" s="997"/>
      <c r="E18" s="997"/>
      <c r="F18" s="897" t="s">
        <v>852</v>
      </c>
      <c r="G18" s="897"/>
      <c r="H18" s="897"/>
      <c r="I18" s="897"/>
      <c r="J18" s="897"/>
      <c r="K18" s="897"/>
      <c r="L18" s="897"/>
      <c r="M18" s="897"/>
      <c r="N18" s="896" t="s">
        <v>382</v>
      </c>
      <c r="O18" s="896"/>
      <c r="P18" s="896"/>
      <c r="Q18" s="896"/>
      <c r="R18" s="897"/>
      <c r="S18" s="897"/>
      <c r="T18" s="897"/>
      <c r="U18" s="897"/>
      <c r="V18" s="898"/>
      <c r="W18" s="898"/>
      <c r="X18" s="898"/>
      <c r="Y18" s="898"/>
    </row>
    <row r="19" spans="1:25" ht="24" customHeight="1" thickBot="1">
      <c r="A19" s="995" t="s">
        <v>465</v>
      </c>
      <c r="B19" s="995"/>
      <c r="C19" s="941" t="s">
        <v>870</v>
      </c>
      <c r="D19" s="941"/>
      <c r="E19" s="941"/>
      <c r="F19" s="941"/>
      <c r="G19" s="941"/>
      <c r="H19" s="941"/>
      <c r="I19" s="941"/>
      <c r="J19" s="941"/>
      <c r="K19" s="941"/>
      <c r="L19" s="941"/>
      <c r="M19" s="941"/>
      <c r="N19" s="896"/>
      <c r="O19" s="896"/>
      <c r="P19" s="896"/>
      <c r="Q19" s="896"/>
      <c r="R19" s="899" t="s">
        <v>825</v>
      </c>
      <c r="S19" s="899"/>
      <c r="T19" s="899"/>
      <c r="U19" s="899"/>
      <c r="V19" s="994"/>
      <c r="W19" s="994"/>
      <c r="X19" s="994"/>
      <c r="Y19" s="994"/>
    </row>
    <row r="20" spans="1:25">
      <c r="A20" s="477"/>
      <c r="B20" s="469"/>
      <c r="C20" s="469"/>
      <c r="D20" s="469"/>
      <c r="E20" s="469"/>
      <c r="F20" s="469"/>
      <c r="G20" s="469"/>
      <c r="H20" s="439"/>
      <c r="I20" s="439"/>
      <c r="J20" s="439"/>
      <c r="K20" s="478"/>
      <c r="L20" s="478"/>
      <c r="M20" s="478"/>
      <c r="N20" s="478"/>
      <c r="O20" s="553"/>
      <c r="P20" s="553"/>
      <c r="Q20" s="553"/>
      <c r="R20" s="553"/>
      <c r="S20" s="553"/>
      <c r="T20" s="553"/>
      <c r="U20" s="553"/>
      <c r="V20" s="553"/>
      <c r="W20" s="553"/>
      <c r="X20" s="553"/>
      <c r="Y20" s="553"/>
    </row>
    <row r="21" spans="1:25" ht="15.75">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02" t="s">
        <v>75</v>
      </c>
      <c r="D22" s="902"/>
      <c r="E22" s="902"/>
      <c r="F22" s="902"/>
      <c r="G22" s="902"/>
      <c r="H22" s="902"/>
      <c r="I22" s="902"/>
      <c r="J22" s="902"/>
      <c r="K22" s="902"/>
      <c r="L22" s="903" t="s">
        <v>76</v>
      </c>
      <c r="M22" s="903"/>
      <c r="N22" s="903"/>
      <c r="O22" s="903"/>
      <c r="P22" s="903"/>
      <c r="Q22" s="903"/>
      <c r="R22" s="903"/>
      <c r="S22" s="902" t="s">
        <v>77</v>
      </c>
      <c r="T22" s="902"/>
      <c r="U22" s="902"/>
      <c r="V22" s="902"/>
      <c r="W22" s="902"/>
      <c r="X22" s="902"/>
      <c r="Y22" s="902"/>
    </row>
    <row r="23" spans="1:25" ht="33.75" customHeight="1">
      <c r="A23" s="904" t="s">
        <v>78</v>
      </c>
      <c r="B23" s="904"/>
      <c r="C23" s="996" t="s">
        <v>871</v>
      </c>
      <c r="D23" s="996"/>
      <c r="E23" s="996"/>
      <c r="F23" s="996"/>
      <c r="G23" s="996"/>
      <c r="H23" s="996"/>
      <c r="I23" s="996"/>
      <c r="J23" s="996"/>
      <c r="K23" s="996"/>
      <c r="L23" s="1007" t="s">
        <v>872</v>
      </c>
      <c r="M23" s="1007"/>
      <c r="N23" s="1007"/>
      <c r="O23" s="1007"/>
      <c r="P23" s="1007"/>
      <c r="Q23" s="1007"/>
      <c r="R23" s="1007"/>
      <c r="S23" s="1005" t="s">
        <v>873</v>
      </c>
      <c r="T23" s="1005"/>
      <c r="U23" s="1005"/>
      <c r="V23" s="1005"/>
      <c r="W23" s="1005"/>
      <c r="X23" s="1005"/>
      <c r="Y23" s="1005"/>
    </row>
    <row r="24" spans="1:25" ht="45" customHeight="1">
      <c r="A24" s="907" t="s">
        <v>79</v>
      </c>
      <c r="B24" s="907"/>
      <c r="C24" s="1005" t="s">
        <v>874</v>
      </c>
      <c r="D24" s="1005"/>
      <c r="E24" s="1005"/>
      <c r="F24" s="1005"/>
      <c r="G24" s="1005"/>
      <c r="H24" s="1005"/>
      <c r="I24" s="1005"/>
      <c r="J24" s="1005"/>
      <c r="K24" s="1005"/>
      <c r="L24" s="1005" t="s">
        <v>875</v>
      </c>
      <c r="M24" s="1005"/>
      <c r="N24" s="1005"/>
      <c r="O24" s="1005"/>
      <c r="P24" s="1005"/>
      <c r="Q24" s="1005"/>
      <c r="R24" s="1005"/>
      <c r="S24" s="1005" t="s">
        <v>876</v>
      </c>
      <c r="T24" s="1005"/>
      <c r="U24" s="1005"/>
      <c r="V24" s="1005"/>
      <c r="W24" s="1005"/>
      <c r="X24" s="1005"/>
      <c r="Y24" s="1005"/>
    </row>
    <row r="25" spans="1:25" ht="45" customHeight="1">
      <c r="A25" s="908" t="s">
        <v>81</v>
      </c>
      <c r="B25" s="908"/>
      <c r="C25" s="996" t="s">
        <v>826</v>
      </c>
      <c r="D25" s="996"/>
      <c r="E25" s="996"/>
      <c r="F25" s="996"/>
      <c r="G25" s="996"/>
      <c r="H25" s="996"/>
      <c r="I25" s="996"/>
      <c r="J25" s="996"/>
      <c r="K25" s="996"/>
      <c r="L25" s="996" t="s">
        <v>826</v>
      </c>
      <c r="M25" s="996"/>
      <c r="N25" s="996"/>
      <c r="O25" s="996"/>
      <c r="P25" s="996"/>
      <c r="Q25" s="996"/>
      <c r="R25" s="996"/>
      <c r="S25" s="1006" t="s">
        <v>826</v>
      </c>
      <c r="T25" s="1006"/>
      <c r="U25" s="1006"/>
      <c r="V25" s="1006"/>
      <c r="W25" s="1006"/>
      <c r="X25" s="1006"/>
      <c r="Y25" s="1006"/>
    </row>
    <row r="26" spans="1:25" ht="45" customHeight="1">
      <c r="A26" s="908" t="s">
        <v>80</v>
      </c>
      <c r="B26" s="908"/>
      <c r="C26" s="1005" t="s">
        <v>877</v>
      </c>
      <c r="D26" s="1005"/>
      <c r="E26" s="1005"/>
      <c r="F26" s="1005"/>
      <c r="G26" s="1005"/>
      <c r="H26" s="1005"/>
      <c r="I26" s="1005"/>
      <c r="J26" s="1005"/>
      <c r="K26" s="1005"/>
      <c r="L26" s="1005" t="s">
        <v>878</v>
      </c>
      <c r="M26" s="1005"/>
      <c r="N26" s="1005"/>
      <c r="O26" s="1005"/>
      <c r="P26" s="1005"/>
      <c r="Q26" s="1005"/>
      <c r="R26" s="1005"/>
      <c r="S26" s="1005" t="s">
        <v>879</v>
      </c>
      <c r="T26" s="1005"/>
      <c r="U26" s="1005"/>
      <c r="V26" s="1005"/>
      <c r="W26" s="1005"/>
      <c r="X26" s="1005"/>
      <c r="Y26" s="1005"/>
    </row>
    <row r="27" spans="1:25" ht="45" customHeight="1">
      <c r="A27" s="907" t="s">
        <v>335</v>
      </c>
      <c r="B27" s="907"/>
      <c r="C27" s="1005" t="s">
        <v>880</v>
      </c>
      <c r="D27" s="1005"/>
      <c r="E27" s="1005"/>
      <c r="F27" s="1005"/>
      <c r="G27" s="1005"/>
      <c r="H27" s="1005"/>
      <c r="I27" s="1005"/>
      <c r="J27" s="1005"/>
      <c r="K27" s="1005"/>
      <c r="L27" s="1005" t="s">
        <v>881</v>
      </c>
      <c r="M27" s="1005"/>
      <c r="N27" s="1005"/>
      <c r="O27" s="1005"/>
      <c r="P27" s="1005"/>
      <c r="Q27" s="1005"/>
      <c r="R27" s="1005"/>
      <c r="S27" s="1005" t="s">
        <v>882</v>
      </c>
      <c r="T27" s="1005"/>
      <c r="U27" s="1005"/>
      <c r="V27" s="1005"/>
      <c r="W27" s="1005"/>
      <c r="X27" s="1005"/>
      <c r="Y27" s="1005"/>
    </row>
    <row r="30" spans="1:25">
      <c r="D30" s="394"/>
    </row>
    <row r="32" spans="1:25">
      <c r="I32" s="396"/>
      <c r="J32" s="396"/>
      <c r="K32" s="396"/>
    </row>
    <row r="33" spans="9:11" ht="15.75">
      <c r="I33" s="397"/>
      <c r="J33" s="398"/>
      <c r="K33" s="395"/>
    </row>
    <row r="34" spans="9:11">
      <c r="I34" s="396"/>
      <c r="J34" s="395"/>
    </row>
    <row r="35" spans="9:11">
      <c r="I35" s="396"/>
    </row>
  </sheetData>
  <mergeCells count="64">
    <mergeCell ref="V18:Y18"/>
    <mergeCell ref="R19:U19"/>
    <mergeCell ref="V19:Y19"/>
    <mergeCell ref="A19:B19"/>
    <mergeCell ref="A26:B26"/>
    <mergeCell ref="C26:K26"/>
    <mergeCell ref="L26:R26"/>
    <mergeCell ref="S26:Y26"/>
    <mergeCell ref="A21:Y21"/>
    <mergeCell ref="C22:K22"/>
    <mergeCell ref="L22:R22"/>
    <mergeCell ref="S22:Y22"/>
    <mergeCell ref="A23:B23"/>
    <mergeCell ref="C23:K23"/>
    <mergeCell ref="L23:R23"/>
    <mergeCell ref="S23:Y23"/>
    <mergeCell ref="A27:B27"/>
    <mergeCell ref="C27:K27"/>
    <mergeCell ref="L27:R27"/>
    <mergeCell ref="S27:Y27"/>
    <mergeCell ref="A24:B24"/>
    <mergeCell ref="C24:K24"/>
    <mergeCell ref="L24:R24"/>
    <mergeCell ref="S24:Y24"/>
    <mergeCell ref="A25:B25"/>
    <mergeCell ref="C25:K25"/>
    <mergeCell ref="L25:R25"/>
    <mergeCell ref="S25:Y25"/>
    <mergeCell ref="L9:Q9"/>
    <mergeCell ref="R9:Y9"/>
    <mergeCell ref="B10:J10"/>
    <mergeCell ref="L10:Q10"/>
    <mergeCell ref="R10:Y10"/>
    <mergeCell ref="B11:J11"/>
    <mergeCell ref="L11:Q11"/>
    <mergeCell ref="R11:Y11"/>
    <mergeCell ref="C19:M19"/>
    <mergeCell ref="A12:M12"/>
    <mergeCell ref="N12:Y12"/>
    <mergeCell ref="A15:M15"/>
    <mergeCell ref="N15:Y15"/>
    <mergeCell ref="A18:E18"/>
    <mergeCell ref="F18:M18"/>
    <mergeCell ref="A13:M14"/>
    <mergeCell ref="N13:Y14"/>
    <mergeCell ref="A16:M17"/>
    <mergeCell ref="N16:Y17"/>
    <mergeCell ref="N18:Q19"/>
    <mergeCell ref="R18:U18"/>
    <mergeCell ref="B8:J8"/>
    <mergeCell ref="L8:Q8"/>
    <mergeCell ref="R8:Y8"/>
    <mergeCell ref="A1:A2"/>
    <mergeCell ref="B2:M2"/>
    <mergeCell ref="B4:J4"/>
    <mergeCell ref="L4:Q4"/>
    <mergeCell ref="R4:Y4"/>
    <mergeCell ref="L5:Q5"/>
    <mergeCell ref="R5:Y5"/>
    <mergeCell ref="B6:J6"/>
    <mergeCell ref="L6:Q6"/>
    <mergeCell ref="R6:Y6"/>
    <mergeCell ref="L7:Q7"/>
    <mergeCell ref="R7:Y7"/>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0BB01-1540-47DF-B7D9-5C04695D361A}">
  <sheetPr>
    <tabColor theme="0"/>
  </sheetPr>
  <dimension ref="A1:Y35"/>
  <sheetViews>
    <sheetView zoomScale="85" zoomScaleNormal="85" workbookViewId="0">
      <selection activeCell="C25" sqref="C25:K25"/>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831</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8) Acquérir et transmettre des informations ou des données</v>
      </c>
      <c r="C2" s="886"/>
      <c r="D2" s="886"/>
      <c r="E2" s="886"/>
      <c r="F2" s="886"/>
      <c r="G2" s="886"/>
      <c r="H2" s="886"/>
      <c r="I2" s="886"/>
      <c r="J2" s="886"/>
      <c r="K2" s="886"/>
      <c r="L2" s="886"/>
      <c r="M2" s="887"/>
      <c r="N2" s="407" t="str">
        <f>INDEX(Problématiques_compétences!$B$3:$D$118,MATCH(A1,Problématiques_compétences!$D$3:$D$118,0),1)</f>
        <v>Comment les ordinateurs arrivent-ils à communiquer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3.1</v>
      </c>
      <c r="B4" s="872" t="str">
        <f ca="1">INDEX(Programme!$B$4:$C$46,MATCH(A4,Programme!$B$4:$B$46,0),2)</f>
        <v>► Exprimer sa pensée à l’aide d’outils de description adaptés : croquis, schémas, graphes, diagrammes, tableaux (représentations non normées).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OTSCIS.2.1</v>
      </c>
      <c r="L4" s="873" t="str">
        <f ca="1">IFERROR(INDEX(Programme!$I$7:$J$94,MATCH($K4,Programme!$I$7:$I$94,0),2),"")</f>
        <v xml:space="preserve">Exprimer sa pensée à l’aide d’outils de description adaptés : croquis, schémas, graphes, diagrammes, tableaux. </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Croquis à main levée. Différents schémas. Carte heuristique. Notion d’algorithme.</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4.1</v>
      </c>
      <c r="B6" s="872" t="str">
        <f ca="1">IFERROR(INDEX(Programme!$B$4:$C$46,MATCH(A6,Programme!$B$4:$B$46,0),2),"")</f>
        <v>► Décrire, en utilisant les outils et langages de descriptions adaptés, la structure et le comportement des objets.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OTSCIS.1.4</v>
      </c>
      <c r="L6" s="873" t="str">
        <f ca="1">IFERROR(INDEX(Programme!$I$7:$J$94,MATCH($K6,Programme!$I$7:$I$94,0),2),"")</f>
        <v>Élaborer un document qui synthétise ces comparaisons et ces commentaires.</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Outils numériques de présentation. Charte graphique.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MSOST.1.5</v>
      </c>
      <c r="L7" s="879" t="str">
        <f ca="1">IFERROR(INDEX(Programme!$I$7:$J$94,MATCH($K7,Programme!$I$7:$I$94,0),2),"")</f>
        <v>Décrire, en utilisant les outils et langages de descriptions adaptés, le fonctionnement, la structure et le comportement des objets.</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Outils de description d’un fonctionnement, d’une structure et d’un comportement.</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CS 5.6</v>
      </c>
      <c r="B8" s="872" t="str">
        <f ca="1">IFERROR(INDEX(Programme!$B$4:$C$46,MATCH(A8,Programme!$B$4:$B$46,0),2),"")</f>
        <v>► Comprendre le fonctionnement d’un réseau informatique.</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IP.1.1</v>
      </c>
      <c r="L8" s="873" t="str">
        <f ca="1">IFERROR(INDEX(Programme!$I$7:$J$94,MATCH($K8,Programme!$I$7:$I$94,0),2),"")</f>
        <v>Comprendre le fonctionnement d'un réseau informatique</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Composants d'un réseau, architecture d'un réseau local, moyens de connexion d’un moyen informatique. Notion de protocole, d'organisation de protocoles en couche, d'algorithme de routage, Internet.</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6.1</v>
      </c>
      <c r="B10" s="872" t="str">
        <f ca="1">IFERROR(INDEX(Programme!$B$4:$C$46,MATCH(A10,Programme!$B$4:$B$46,0),2),"")</f>
        <v>► Développer les bonnes pratiques de l’usage des objets communicants.</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OTSCIS.1.3</v>
      </c>
      <c r="L10" s="873" t="str">
        <f ca="1">IFERROR(INDEX(Programme!$I$7:$J$94,MATCH($K10,Programme!$I$7:$I$94,0),2),"")</f>
        <v>Comparer et commenter les évolutions des objets en articulant différents points de vue : fonctionnel, structurel, environnemental, technique, scientifique, social, historique, économique.</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832</v>
      </c>
      <c r="B13" s="852"/>
      <c r="C13" s="852"/>
      <c r="D13" s="852"/>
      <c r="E13" s="852"/>
      <c r="F13" s="852"/>
      <c r="G13" s="852"/>
      <c r="H13" s="852"/>
      <c r="I13" s="852"/>
      <c r="J13" s="852"/>
      <c r="K13" s="852"/>
      <c r="L13" s="852"/>
      <c r="M13" s="853"/>
      <c r="N13" s="857" t="s">
        <v>833</v>
      </c>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834</v>
      </c>
      <c r="B16" s="858"/>
      <c r="C16" s="858"/>
      <c r="D16" s="858"/>
      <c r="E16" s="858"/>
      <c r="F16" s="858"/>
      <c r="G16" s="858"/>
      <c r="H16" s="858"/>
      <c r="I16" s="858"/>
      <c r="J16" s="858"/>
      <c r="K16" s="858"/>
      <c r="L16" s="858"/>
      <c r="M16" s="859"/>
      <c r="N16" s="857" t="s">
        <v>835</v>
      </c>
      <c r="O16" s="858"/>
      <c r="P16" s="858"/>
      <c r="Q16" s="858"/>
      <c r="R16" s="858"/>
      <c r="S16" s="858"/>
      <c r="T16" s="858"/>
      <c r="U16" s="858"/>
      <c r="V16" s="858"/>
      <c r="W16" s="858"/>
      <c r="X16" s="858"/>
      <c r="Y16" s="859"/>
    </row>
    <row r="17" spans="1:25" ht="30"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888" t="s">
        <v>836</v>
      </c>
      <c r="G18" s="888"/>
      <c r="H18" s="888"/>
      <c r="I18" s="888"/>
      <c r="J18" s="888"/>
      <c r="K18" s="888"/>
      <c r="L18" s="888"/>
      <c r="M18" s="889"/>
      <c r="N18" s="866" t="s">
        <v>382</v>
      </c>
      <c r="O18" s="867"/>
      <c r="P18" s="867"/>
      <c r="Q18" s="867"/>
      <c r="R18" s="888" t="s">
        <v>837</v>
      </c>
      <c r="S18" s="888"/>
      <c r="T18" s="888"/>
      <c r="U18" s="888"/>
      <c r="V18" s="888"/>
      <c r="W18" s="888"/>
      <c r="X18" s="888"/>
      <c r="Y18" s="889"/>
    </row>
    <row r="19" spans="1:25" ht="15.75" thickBot="1">
      <c r="A19" s="455" t="s">
        <v>465</v>
      </c>
      <c r="B19" s="447"/>
      <c r="C19" s="447"/>
      <c r="D19" s="447"/>
      <c r="E19" s="447"/>
      <c r="F19" s="890" t="s">
        <v>838</v>
      </c>
      <c r="G19" s="890"/>
      <c r="H19" s="890"/>
      <c r="I19" s="890"/>
      <c r="J19" s="890"/>
      <c r="K19" s="890"/>
      <c r="L19" s="890"/>
      <c r="M19" s="891"/>
      <c r="N19" s="868"/>
      <c r="O19" s="869"/>
      <c r="P19" s="869"/>
      <c r="Q19" s="869"/>
      <c r="R19" s="890" t="s">
        <v>839</v>
      </c>
      <c r="S19" s="890"/>
      <c r="T19" s="890"/>
      <c r="U19" s="890"/>
      <c r="V19" s="890"/>
      <c r="W19" s="890"/>
      <c r="X19" s="890"/>
      <c r="Y19" s="891"/>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840</v>
      </c>
      <c r="D23" s="842"/>
      <c r="E23" s="842"/>
      <c r="F23" s="842"/>
      <c r="G23" s="842"/>
      <c r="H23" s="842"/>
      <c r="I23" s="842"/>
      <c r="J23" s="842"/>
      <c r="K23" s="843"/>
      <c r="L23" s="842" t="s">
        <v>841</v>
      </c>
      <c r="M23" s="842"/>
      <c r="N23" s="842"/>
      <c r="O23" s="842"/>
      <c r="P23" s="842"/>
      <c r="Q23" s="842"/>
      <c r="R23" s="843"/>
      <c r="S23" s="842" t="s">
        <v>842</v>
      </c>
      <c r="T23" s="842"/>
      <c r="U23" s="842"/>
      <c r="V23" s="842"/>
      <c r="W23" s="842"/>
      <c r="X23" s="842"/>
      <c r="Y23" s="843"/>
    </row>
    <row r="24" spans="1:25" ht="45" customHeight="1">
      <c r="A24" s="844" t="s">
        <v>79</v>
      </c>
      <c r="B24" s="845"/>
      <c r="C24" s="841" t="s">
        <v>843</v>
      </c>
      <c r="D24" s="842"/>
      <c r="E24" s="842"/>
      <c r="F24" s="842"/>
      <c r="G24" s="842"/>
      <c r="H24" s="842"/>
      <c r="I24" s="842"/>
      <c r="J24" s="842"/>
      <c r="K24" s="843"/>
      <c r="L24" s="841" t="s">
        <v>844</v>
      </c>
      <c r="M24" s="842"/>
      <c r="N24" s="842"/>
      <c r="O24" s="842"/>
      <c r="P24" s="842"/>
      <c r="Q24" s="842"/>
      <c r="R24" s="843"/>
      <c r="S24" s="841" t="s">
        <v>845</v>
      </c>
      <c r="T24" s="842"/>
      <c r="U24" s="842"/>
      <c r="V24" s="842"/>
      <c r="W24" s="842"/>
      <c r="X24" s="842"/>
      <c r="Y24" s="843"/>
    </row>
    <row r="25" spans="1:25" ht="45" customHeight="1">
      <c r="A25" s="839" t="s">
        <v>81</v>
      </c>
      <c r="B25" s="840"/>
      <c r="C25" s="841" t="s">
        <v>537</v>
      </c>
      <c r="D25" s="842"/>
      <c r="E25" s="842"/>
      <c r="F25" s="842"/>
      <c r="G25" s="842"/>
      <c r="H25" s="842"/>
      <c r="I25" s="842"/>
      <c r="J25" s="842"/>
      <c r="K25" s="843"/>
      <c r="L25" s="841" t="s">
        <v>537</v>
      </c>
      <c r="M25" s="842"/>
      <c r="N25" s="842"/>
      <c r="O25" s="842"/>
      <c r="P25" s="842"/>
      <c r="Q25" s="842"/>
      <c r="R25" s="843"/>
      <c r="S25" s="841"/>
      <c r="T25" s="842"/>
      <c r="U25" s="842"/>
      <c r="V25" s="842"/>
      <c r="W25" s="842"/>
      <c r="X25" s="842"/>
      <c r="Y25" s="843"/>
    </row>
    <row r="26" spans="1:25" ht="45" customHeight="1">
      <c r="A26" s="839" t="s">
        <v>80</v>
      </c>
      <c r="B26" s="840"/>
      <c r="C26" s="841" t="s">
        <v>846</v>
      </c>
      <c r="D26" s="842"/>
      <c r="E26" s="842"/>
      <c r="F26" s="842"/>
      <c r="G26" s="842"/>
      <c r="H26" s="842"/>
      <c r="I26" s="842"/>
      <c r="J26" s="842"/>
      <c r="K26" s="843"/>
      <c r="L26" s="841" t="s">
        <v>847</v>
      </c>
      <c r="M26" s="842"/>
      <c r="N26" s="842"/>
      <c r="O26" s="842"/>
      <c r="P26" s="842"/>
      <c r="Q26" s="842"/>
      <c r="R26" s="843"/>
      <c r="S26" s="841" t="s">
        <v>848</v>
      </c>
      <c r="T26" s="842"/>
      <c r="U26" s="842"/>
      <c r="V26" s="842"/>
      <c r="W26" s="842"/>
      <c r="X26" s="842"/>
      <c r="Y26" s="843"/>
    </row>
    <row r="27" spans="1:25" ht="45" customHeight="1">
      <c r="A27" s="844" t="s">
        <v>335</v>
      </c>
      <c r="B27" s="845"/>
      <c r="C27" s="841"/>
      <c r="D27" s="842"/>
      <c r="E27" s="842"/>
      <c r="F27" s="842"/>
      <c r="G27" s="842"/>
      <c r="H27" s="842"/>
      <c r="I27" s="842"/>
      <c r="J27" s="842"/>
      <c r="K27" s="843"/>
      <c r="L27" s="841"/>
      <c r="M27" s="842"/>
      <c r="N27" s="842"/>
      <c r="O27" s="842"/>
      <c r="P27" s="842"/>
      <c r="Q27" s="842"/>
      <c r="R27" s="843"/>
      <c r="S27" s="841"/>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A21:Y21"/>
    <mergeCell ref="C22:K22"/>
    <mergeCell ref="L22:R22"/>
    <mergeCell ref="S22:Y22"/>
    <mergeCell ref="A23:B23"/>
    <mergeCell ref="C23:K23"/>
    <mergeCell ref="L23:R23"/>
    <mergeCell ref="S23:Y23"/>
    <mergeCell ref="A27:B27"/>
    <mergeCell ref="C27:K27"/>
    <mergeCell ref="L27:R27"/>
    <mergeCell ref="S27:Y27"/>
    <mergeCell ref="A24:B24"/>
    <mergeCell ref="C24:K24"/>
    <mergeCell ref="L24:R24"/>
    <mergeCell ref="S24:Y24"/>
    <mergeCell ref="A25:B25"/>
    <mergeCell ref="C25:K25"/>
    <mergeCell ref="L25:R25"/>
    <mergeCell ref="S25:Y25"/>
    <mergeCell ref="A26:B26"/>
    <mergeCell ref="C26:K26"/>
    <mergeCell ref="L26:R26"/>
    <mergeCell ref="S26:Y26"/>
    <mergeCell ref="A13:M14"/>
    <mergeCell ref="N13:Y14"/>
    <mergeCell ref="A16:M17"/>
    <mergeCell ref="N16:Y17"/>
    <mergeCell ref="N18:Q19"/>
    <mergeCell ref="F18:M18"/>
    <mergeCell ref="R18:Y18"/>
    <mergeCell ref="F19:M19"/>
    <mergeCell ref="R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63507-D141-494B-B06A-AC25BEE330E8}">
  <sheetPr>
    <tabColor theme="0"/>
  </sheetPr>
  <dimension ref="A1:Y35"/>
  <sheetViews>
    <sheetView topLeftCell="A10" zoomScale="85" zoomScaleNormal="85" workbookViewId="0">
      <selection activeCell="R18" sqref="R18:U18"/>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884</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4) Programmer un objet</v>
      </c>
      <c r="C2" s="886"/>
      <c r="D2" s="886"/>
      <c r="E2" s="886"/>
      <c r="F2" s="886"/>
      <c r="G2" s="886"/>
      <c r="H2" s="886"/>
      <c r="I2" s="886"/>
      <c r="J2" s="886"/>
      <c r="K2" s="886"/>
      <c r="L2" s="886"/>
      <c r="M2" s="887"/>
      <c r="N2" s="407" t="str">
        <f>INDEX(Problématiques_compétences!$B$3:$D$118,MATCH(A1,Problématiques_compétences!$D$3:$D$118,0),1)</f>
        <v>Comment réaliser une application androïd à destination des parents d'élève</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2.7</v>
      </c>
      <c r="B4" s="872" t="str">
        <f ca="1">INDEX(Programme!$B$4:$C$46,MATCH(A4,Programme!$B$4:$B$46,0),2)</f>
        <v>► Imaginer, concevoir et programmer des applications informatiques nomades.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DIC.1.5</v>
      </c>
      <c r="L4" s="873" t="str">
        <f ca="1">IFERROR(INDEX(Programme!$I$7:$J$94,MATCH($K4,Programme!$I$7:$I$94,0),2),"")</f>
        <v>Imaginer des solutions pour produire des objets et des éléments de programmes informatiques en réponse au besoin.</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Design. Innovation et créativité. Veille. Représentation de solutions (croquis, schémas, algorithmes). Réalité augmentée. Objets connectés.</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IP.2.2</v>
      </c>
      <c r="L5" s="879" t="str">
        <f ca="1">IFERROR(INDEX(Programme!$I$7:$J$94,MATCH($K5,Programme!$I$7:$I$94,0),2),"")</f>
        <v>Écrire, mettre au point (tester, corriger) et exécuter un programme commandant un système réel et vérifier le comportement attendu.</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3.1</v>
      </c>
      <c r="B6" s="872" t="str">
        <f ca="1">IFERROR(INDEX(Programme!$B$4:$C$46,MATCH(A6,Programme!$B$4:$B$46,0),2),"")</f>
        <v>► Exprimer sa pensée à l’aide d’outils de description adaptés : croquis, schémas, graphes, diagrammes, tableaux (représentations non normées).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OTSCIS.2.1</v>
      </c>
      <c r="L6" s="873" t="str">
        <f ca="1">IFERROR(INDEX(Programme!$I$7:$J$94,MATCH($K6,Programme!$I$7:$I$94,0),2),"")</f>
        <v xml:space="preserve">Exprimer sa pensée à l’aide d’outils de description adaptés : croquis, schémas, graphes, diagrammes, tableaux. </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Croquis à main levée. Différents schémas. Carte heuristique. Notion d’algorithme.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5.1</v>
      </c>
      <c r="B8" s="872" t="str">
        <f ca="1">IFERROR(INDEX(Programme!$B$4:$C$46,MATCH(A8,Programme!$B$4:$B$46,0),2),"")</f>
        <v>► Simuler numériquement la structure et/ou le comportement d’un objet.</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MSOST.2.2</v>
      </c>
      <c r="L8" s="873" t="str">
        <f ca="1">IFERROR(INDEX(Programme!$I$7:$J$94,MATCH($K8,Programme!$I$7:$I$94,0),2),"")</f>
        <v>Simuler numériquement la structure et/ou le comportement d’un objet. Interpréter le comportement de l’objet technique et le communiquer en argumentant.</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Notions d’écarts entre les attentes fixées par le cahier des charges et les résultats de la simulation.</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872" t="str">
        <f ca="1">IFERROR(INDEX(Programme!$B$4:$C$46,MATCH(A10,Programme!$B$4:$B$46,0),2),"")</f>
        <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
      </c>
      <c r="L10" s="873" t="str">
        <f ca="1">IFERROR(INDEX(Programme!$I$7:$J$94,MATCH($K10,Programme!$I$7:$I$94,0),2),"")</f>
        <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885</v>
      </c>
      <c r="B13" s="852"/>
      <c r="C13" s="852"/>
      <c r="D13" s="852"/>
      <c r="E13" s="852"/>
      <c r="F13" s="852"/>
      <c r="G13" s="852"/>
      <c r="H13" s="852"/>
      <c r="I13" s="852"/>
      <c r="J13" s="852"/>
      <c r="K13" s="852"/>
      <c r="L13" s="852"/>
      <c r="M13" s="853"/>
      <c r="N13" s="857" t="s">
        <v>886</v>
      </c>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887</v>
      </c>
      <c r="B16" s="858"/>
      <c r="C16" s="858"/>
      <c r="D16" s="858"/>
      <c r="E16" s="858"/>
      <c r="F16" s="858"/>
      <c r="G16" s="858"/>
      <c r="H16" s="858"/>
      <c r="I16" s="858"/>
      <c r="J16" s="858"/>
      <c r="K16" s="858"/>
      <c r="L16" s="858"/>
      <c r="M16" s="859"/>
      <c r="N16" s="857" t="s">
        <v>888</v>
      </c>
      <c r="O16" s="858"/>
      <c r="P16" s="858"/>
      <c r="Q16" s="858"/>
      <c r="R16" s="858"/>
      <c r="S16" s="858"/>
      <c r="T16" s="858"/>
      <c r="U16" s="858"/>
      <c r="V16" s="858"/>
      <c r="W16" s="858"/>
      <c r="X16" s="858"/>
      <c r="Y16" s="859"/>
    </row>
    <row r="17" spans="1:25" ht="30"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c r="G18" s="434"/>
      <c r="H18" s="434"/>
      <c r="I18" s="434"/>
      <c r="J18" s="434"/>
      <c r="K18" s="433"/>
      <c r="L18" s="431"/>
      <c r="M18" s="446"/>
      <c r="N18" s="866" t="s">
        <v>382</v>
      </c>
      <c r="O18" s="867"/>
      <c r="P18" s="867"/>
      <c r="Q18" s="867"/>
      <c r="R18" s="870"/>
      <c r="S18" s="870"/>
      <c r="T18" s="870"/>
      <c r="U18" s="870"/>
      <c r="V18" s="870"/>
      <c r="W18" s="870"/>
      <c r="X18" s="870"/>
      <c r="Y18" s="871"/>
    </row>
    <row r="19" spans="1:25" ht="25.5" customHeight="1" thickBot="1">
      <c r="A19" s="455" t="s">
        <v>465</v>
      </c>
      <c r="B19" s="447"/>
      <c r="C19" s="447"/>
      <c r="D19" s="447"/>
      <c r="E19" s="447"/>
      <c r="F19" s="447"/>
      <c r="G19" s="447"/>
      <c r="H19" s="448"/>
      <c r="I19" s="448"/>
      <c r="J19" s="448"/>
      <c r="K19" s="449"/>
      <c r="L19" s="449"/>
      <c r="M19" s="450"/>
      <c r="N19" s="868"/>
      <c r="O19" s="869"/>
      <c r="P19" s="869"/>
      <c r="Q19" s="869"/>
      <c r="R19" s="864"/>
      <c r="S19" s="864"/>
      <c r="T19" s="864"/>
      <c r="U19" s="864"/>
      <c r="V19" s="892"/>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889</v>
      </c>
      <c r="D23" s="842"/>
      <c r="E23" s="842"/>
      <c r="F23" s="842"/>
      <c r="G23" s="842"/>
      <c r="H23" s="842"/>
      <c r="I23" s="842"/>
      <c r="J23" s="842"/>
      <c r="K23" s="843"/>
      <c r="L23" s="842" t="s">
        <v>890</v>
      </c>
      <c r="M23" s="842"/>
      <c r="N23" s="842"/>
      <c r="O23" s="842"/>
      <c r="P23" s="842"/>
      <c r="Q23" s="842"/>
      <c r="R23" s="843"/>
      <c r="S23" s="841"/>
      <c r="T23" s="842"/>
      <c r="U23" s="842"/>
      <c r="V23" s="842"/>
      <c r="W23" s="842"/>
      <c r="X23" s="842"/>
      <c r="Y23" s="843"/>
    </row>
    <row r="24" spans="1:25" ht="69.75" customHeight="1">
      <c r="A24" s="844" t="s">
        <v>79</v>
      </c>
      <c r="B24" s="845"/>
      <c r="C24" s="841" t="s">
        <v>891</v>
      </c>
      <c r="D24" s="842"/>
      <c r="E24" s="842"/>
      <c r="F24" s="842"/>
      <c r="G24" s="842"/>
      <c r="H24" s="842"/>
      <c r="I24" s="842"/>
      <c r="J24" s="842"/>
      <c r="K24" s="843"/>
      <c r="L24" s="841" t="s">
        <v>892</v>
      </c>
      <c r="M24" s="842"/>
      <c r="N24" s="842"/>
      <c r="O24" s="842"/>
      <c r="P24" s="842"/>
      <c r="Q24" s="842"/>
      <c r="R24" s="843"/>
      <c r="S24" s="841"/>
      <c r="T24" s="842"/>
      <c r="U24" s="842"/>
      <c r="V24" s="842"/>
      <c r="W24" s="842"/>
      <c r="X24" s="842"/>
      <c r="Y24" s="843"/>
    </row>
    <row r="25" spans="1:25" ht="45" customHeight="1">
      <c r="A25" s="839" t="s">
        <v>81</v>
      </c>
      <c r="B25" s="840"/>
      <c r="C25" s="841" t="s">
        <v>517</v>
      </c>
      <c r="D25" s="842"/>
      <c r="E25" s="842"/>
      <c r="F25" s="842"/>
      <c r="G25" s="842"/>
      <c r="H25" s="842"/>
      <c r="I25" s="842"/>
      <c r="J25" s="842"/>
      <c r="K25" s="843"/>
      <c r="L25" s="841" t="s">
        <v>732</v>
      </c>
      <c r="M25" s="842"/>
      <c r="N25" s="842"/>
      <c r="O25" s="842"/>
      <c r="P25" s="842"/>
      <c r="Q25" s="842"/>
      <c r="R25" s="843"/>
      <c r="S25" s="841"/>
      <c r="T25" s="842"/>
      <c r="U25" s="842"/>
      <c r="V25" s="842"/>
      <c r="W25" s="842"/>
      <c r="X25" s="842"/>
      <c r="Y25" s="843"/>
    </row>
    <row r="26" spans="1:25" ht="45" customHeight="1">
      <c r="A26" s="839" t="s">
        <v>80</v>
      </c>
      <c r="B26" s="840"/>
      <c r="C26" s="841" t="s">
        <v>893</v>
      </c>
      <c r="D26" s="842"/>
      <c r="E26" s="842"/>
      <c r="F26" s="842"/>
      <c r="G26" s="842"/>
      <c r="H26" s="842"/>
      <c r="I26" s="842"/>
      <c r="J26" s="842"/>
      <c r="K26" s="843"/>
      <c r="L26" s="841" t="s">
        <v>894</v>
      </c>
      <c r="M26" s="842"/>
      <c r="N26" s="842"/>
      <c r="O26" s="842"/>
      <c r="P26" s="842"/>
      <c r="Q26" s="842"/>
      <c r="R26" s="843"/>
      <c r="S26" s="841"/>
      <c r="T26" s="842"/>
      <c r="U26" s="842"/>
      <c r="V26" s="842"/>
      <c r="W26" s="842"/>
      <c r="X26" s="842"/>
      <c r="Y26" s="843"/>
    </row>
    <row r="27" spans="1:25" ht="45" customHeight="1">
      <c r="A27" s="844" t="s">
        <v>335</v>
      </c>
      <c r="B27" s="845"/>
      <c r="C27" s="841" t="s">
        <v>895</v>
      </c>
      <c r="D27" s="842"/>
      <c r="E27" s="842"/>
      <c r="F27" s="842"/>
      <c r="G27" s="842"/>
      <c r="H27" s="842"/>
      <c r="I27" s="842"/>
      <c r="J27" s="842"/>
      <c r="K27" s="843"/>
      <c r="L27" s="841" t="s">
        <v>896</v>
      </c>
      <c r="M27" s="842"/>
      <c r="N27" s="842"/>
      <c r="O27" s="842"/>
      <c r="P27" s="842"/>
      <c r="Q27" s="842"/>
      <c r="R27" s="843"/>
      <c r="S27" s="841"/>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7A270-416D-4F33-A34A-12BA18BFEDCF}">
  <sheetPr>
    <tabColor theme="0"/>
  </sheetPr>
  <dimension ref="A1:Y35"/>
  <sheetViews>
    <sheetView topLeftCell="A16" zoomScale="85" zoomScaleNormal="85" workbookViewId="0">
      <selection activeCell="A13" sqref="A13:M14"/>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898</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10) Préserver la santé et aider l'homme</v>
      </c>
      <c r="C2" s="886"/>
      <c r="D2" s="886"/>
      <c r="E2" s="886"/>
      <c r="F2" s="886"/>
      <c r="G2" s="886"/>
      <c r="H2" s="886"/>
      <c r="I2" s="886"/>
      <c r="J2" s="886"/>
      <c r="K2" s="886"/>
      <c r="L2" s="886"/>
      <c r="M2" s="887"/>
      <c r="N2" s="407" t="str">
        <f>INDEX(Problématiques_compétences!$B$3:$D$118,MATCH(A1,Problématiques_compétences!$D$3:$D$118,0),1)</f>
        <v>comment la technologie nous informe sur notre santé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CS 1.6</v>
      </c>
      <c r="B4" s="872" t="str">
        <f ca="1">INDEX(Programme!$B$4:$C$46,MATCH(A4,Programme!$B$4:$B$46,0),2)</f>
        <v>► Analyser le fonctionnement et la structure d’un objet, identifier les entrées et sorties.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MSOST.1.3</v>
      </c>
      <c r="L4" s="873" t="str">
        <f ca="1">IFERROR(INDEX(Programme!$I$7:$J$94,MATCH($K4,Programme!$I$7:$I$94,0),2),"")</f>
        <v>Analyser le fonctionnement et la structure d’un objet, identifier les entrées et sorties.</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Représentation fonctionnelle des systèmes. Structure des systèmes. Chaîne d’énergie.Chaîne d’information.</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4.1</v>
      </c>
      <c r="B6" s="872" t="str">
        <f ca="1">IFERROR(INDEX(Programme!$B$4:$C$46,MATCH(A6,Programme!$B$4:$B$46,0),2),"")</f>
        <v>► Décrire, en utilisant les outils et langages de descriptions adaptés, la structure et le comportement des objets.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OTSCIS.1.4</v>
      </c>
      <c r="L6" s="873" t="str">
        <f ca="1">IFERROR(INDEX(Programme!$I$7:$J$94,MATCH($K6,Programme!$I$7:$I$94,0),2),"")</f>
        <v>Élaborer un document qui synthétise ces comparaisons et ces commentaires.</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Outils numériques de présentation. Charte graphique.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MSOST.1.5</v>
      </c>
      <c r="L7" s="879" t="str">
        <f ca="1">IFERROR(INDEX(Programme!$I$7:$J$94,MATCH($K7,Programme!$I$7:$I$94,0),2),"")</f>
        <v>Décrire, en utilisant les outils et langages de descriptions adaptés, le fonctionnement, la structure et le comportement des objets.</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Outils de description d’un fonctionnement, d’une structure et d’un comportement.</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6.1</v>
      </c>
      <c r="B8" s="872" t="str">
        <f ca="1">IFERROR(INDEX(Programme!$B$4:$C$46,MATCH(A8,Programme!$B$4:$B$46,0),2),"")</f>
        <v>► Développer les bonnes pratiques de l’usage des objets communicants.</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OTSCIS.1.3</v>
      </c>
      <c r="L8" s="873" t="str">
        <f ca="1">IFERROR(INDEX(Programme!$I$7:$J$94,MATCH($K8,Programme!$I$7:$I$94,0),2),"")</f>
        <v>Comparer et commenter les évolutions des objets en articulant différents points de vue : fonctionnel, structurel, environnemental, technique, scientifique, social, historique, économique.</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7.1</v>
      </c>
      <c r="B10" s="872" t="str">
        <f ca="1">IFERROR(INDEX(Programme!$B$4:$C$46,MATCH(A10,Programme!$B$4:$B$46,0),2),"")</f>
        <v>► Regrouper des objets en familles et lignées.</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OTSCIS.1.1</v>
      </c>
      <c r="L10" s="873" t="str">
        <f ca="1">IFERROR(INDEX(Programme!$I$7:$J$94,MATCH($K10,Programme!$I$7:$I$94,0),2),"")</f>
        <v>Regrouper des objets en familles et lignées.</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L’évolution des objets. Impacts sociétaux et environnementaux dus aux objets. Cycle de vie. Les règles d’un usage raisonné des objets communicants respectant la propriété intellectuelle et l’intégrité d’autrui.</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899</v>
      </c>
      <c r="B13" s="852"/>
      <c r="C13" s="852"/>
      <c r="D13" s="852"/>
      <c r="E13" s="852"/>
      <c r="F13" s="852"/>
      <c r="G13" s="852"/>
      <c r="H13" s="852"/>
      <c r="I13" s="852"/>
      <c r="J13" s="852"/>
      <c r="K13" s="852"/>
      <c r="L13" s="852"/>
      <c r="M13" s="853"/>
      <c r="N13" s="857" t="s">
        <v>900</v>
      </c>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901</v>
      </c>
      <c r="B16" s="858"/>
      <c r="C16" s="858"/>
      <c r="D16" s="858"/>
      <c r="E16" s="858"/>
      <c r="F16" s="858"/>
      <c r="G16" s="858"/>
      <c r="H16" s="858"/>
      <c r="I16" s="858"/>
      <c r="J16" s="858"/>
      <c r="K16" s="858"/>
      <c r="L16" s="858"/>
      <c r="M16" s="859"/>
      <c r="N16" s="857" t="s">
        <v>902</v>
      </c>
      <c r="O16" s="858"/>
      <c r="P16" s="858"/>
      <c r="Q16" s="858"/>
      <c r="R16" s="858"/>
      <c r="S16" s="858"/>
      <c r="T16" s="858"/>
      <c r="U16" s="858"/>
      <c r="V16" s="858"/>
      <c r="W16" s="858"/>
      <c r="X16" s="858"/>
      <c r="Y16" s="859"/>
    </row>
    <row r="17" spans="1:25" ht="30"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c r="G18" s="434" t="s">
        <v>903</v>
      </c>
      <c r="H18" s="434"/>
      <c r="I18" s="434"/>
      <c r="J18" s="434"/>
      <c r="K18" s="433"/>
      <c r="L18" s="431"/>
      <c r="M18" s="446"/>
      <c r="N18" s="866" t="s">
        <v>382</v>
      </c>
      <c r="O18" s="867"/>
      <c r="P18" s="867"/>
      <c r="Q18" s="867"/>
      <c r="R18" s="870" t="s">
        <v>904</v>
      </c>
      <c r="S18" s="870"/>
      <c r="T18" s="870"/>
      <c r="U18" s="870"/>
      <c r="V18" s="870"/>
      <c r="W18" s="870"/>
      <c r="X18" s="870"/>
      <c r="Y18" s="871"/>
    </row>
    <row r="19" spans="1:25" ht="15.75" customHeight="1" thickBot="1">
      <c r="A19" s="455" t="s">
        <v>465</v>
      </c>
      <c r="B19" s="447"/>
      <c r="C19" s="447"/>
      <c r="D19" s="447"/>
      <c r="E19" s="447"/>
      <c r="F19" s="447"/>
      <c r="G19" s="447"/>
      <c r="H19" s="448"/>
      <c r="I19" s="448"/>
      <c r="J19" s="448"/>
      <c r="K19" s="449"/>
      <c r="L19" s="449"/>
      <c r="M19" s="450"/>
      <c r="N19" s="868"/>
      <c r="O19" s="869"/>
      <c r="P19" s="869"/>
      <c r="Q19" s="869"/>
      <c r="R19" s="864" t="s">
        <v>905</v>
      </c>
      <c r="S19" s="864"/>
      <c r="T19" s="864"/>
      <c r="U19" s="864"/>
      <c r="V19" s="892"/>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906</v>
      </c>
      <c r="D23" s="842"/>
      <c r="E23" s="842"/>
      <c r="F23" s="842"/>
      <c r="G23" s="842"/>
      <c r="H23" s="842"/>
      <c r="I23" s="842"/>
      <c r="J23" s="842"/>
      <c r="K23" s="843"/>
      <c r="L23" s="842" t="s">
        <v>907</v>
      </c>
      <c r="M23" s="842"/>
      <c r="N23" s="842"/>
      <c r="O23" s="842"/>
      <c r="P23" s="842"/>
      <c r="Q23" s="842"/>
      <c r="R23" s="843"/>
      <c r="S23" s="841" t="s">
        <v>908</v>
      </c>
      <c r="T23" s="842"/>
      <c r="U23" s="842"/>
      <c r="V23" s="842"/>
      <c r="W23" s="842"/>
      <c r="X23" s="842"/>
      <c r="Y23" s="843"/>
    </row>
    <row r="24" spans="1:25" ht="111" customHeight="1">
      <c r="A24" s="844" t="s">
        <v>79</v>
      </c>
      <c r="B24" s="845"/>
      <c r="C24" s="841" t="s">
        <v>909</v>
      </c>
      <c r="D24" s="842"/>
      <c r="E24" s="842"/>
      <c r="F24" s="842"/>
      <c r="G24" s="842"/>
      <c r="H24" s="842"/>
      <c r="I24" s="842"/>
      <c r="J24" s="842"/>
      <c r="K24" s="843"/>
      <c r="L24" s="841" t="s">
        <v>910</v>
      </c>
      <c r="M24" s="842"/>
      <c r="N24" s="842"/>
      <c r="O24" s="842"/>
      <c r="P24" s="842"/>
      <c r="Q24" s="842"/>
      <c r="R24" s="843"/>
      <c r="S24" s="841" t="s">
        <v>911</v>
      </c>
      <c r="T24" s="842"/>
      <c r="U24" s="842"/>
      <c r="V24" s="842"/>
      <c r="W24" s="842"/>
      <c r="X24" s="842"/>
      <c r="Y24" s="843"/>
    </row>
    <row r="25" spans="1:25" ht="45" customHeight="1">
      <c r="A25" s="1008" t="s">
        <v>81</v>
      </c>
      <c r="B25" s="840"/>
      <c r="C25" s="841" t="s">
        <v>537</v>
      </c>
      <c r="D25" s="842"/>
      <c r="E25" s="842"/>
      <c r="F25" s="842"/>
      <c r="G25" s="842"/>
      <c r="H25" s="842"/>
      <c r="I25" s="842"/>
      <c r="J25" s="842"/>
      <c r="K25" s="843"/>
      <c r="L25" s="841" t="s">
        <v>537</v>
      </c>
      <c r="M25" s="842"/>
      <c r="N25" s="842"/>
      <c r="O25" s="842"/>
      <c r="P25" s="842"/>
      <c r="Q25" s="842"/>
      <c r="R25" s="843"/>
      <c r="S25" s="841" t="s">
        <v>537</v>
      </c>
      <c r="T25" s="842"/>
      <c r="U25" s="842"/>
      <c r="V25" s="842"/>
      <c r="W25" s="842"/>
      <c r="X25" s="842"/>
      <c r="Y25" s="843"/>
    </row>
    <row r="26" spans="1:25" ht="59.25" customHeight="1">
      <c r="A26" s="839" t="s">
        <v>80</v>
      </c>
      <c r="B26" s="840"/>
      <c r="C26" s="841" t="s">
        <v>912</v>
      </c>
      <c r="D26" s="842"/>
      <c r="E26" s="842"/>
      <c r="F26" s="842"/>
      <c r="G26" s="842"/>
      <c r="H26" s="842"/>
      <c r="I26" s="842"/>
      <c r="J26" s="842"/>
      <c r="K26" s="843"/>
      <c r="L26" s="841" t="s">
        <v>913</v>
      </c>
      <c r="M26" s="842"/>
      <c r="N26" s="842"/>
      <c r="O26" s="842"/>
      <c r="P26" s="842"/>
      <c r="Q26" s="842"/>
      <c r="R26" s="843"/>
      <c r="S26" s="841" t="s">
        <v>914</v>
      </c>
      <c r="T26" s="842"/>
      <c r="U26" s="842"/>
      <c r="V26" s="842"/>
      <c r="W26" s="842"/>
      <c r="X26" s="842"/>
      <c r="Y26" s="843"/>
    </row>
    <row r="27" spans="1:25" ht="45" customHeight="1">
      <c r="A27" s="844" t="s">
        <v>335</v>
      </c>
      <c r="B27" s="845"/>
      <c r="C27" s="841" t="s">
        <v>915</v>
      </c>
      <c r="D27" s="842"/>
      <c r="E27" s="842"/>
      <c r="F27" s="842"/>
      <c r="G27" s="842"/>
      <c r="H27" s="842"/>
      <c r="I27" s="842"/>
      <c r="J27" s="842"/>
      <c r="K27" s="843"/>
      <c r="L27" s="841" t="s">
        <v>916</v>
      </c>
      <c r="M27" s="842"/>
      <c r="N27" s="842"/>
      <c r="O27" s="842"/>
      <c r="P27" s="842"/>
      <c r="Q27" s="842"/>
      <c r="R27" s="843"/>
      <c r="S27" s="841" t="s">
        <v>917</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S94"/>
  <sheetViews>
    <sheetView topLeftCell="H34" zoomScale="90" zoomScaleNormal="90" workbookViewId="0">
      <selection activeCell="C21" sqref="C21"/>
    </sheetView>
  </sheetViews>
  <sheetFormatPr baseColWidth="10" defaultRowHeight="15"/>
  <cols>
    <col min="1" max="1" width="50.28515625" customWidth="1"/>
    <col min="2" max="2" width="7.7109375" customWidth="1"/>
    <col min="3" max="3" width="67.85546875" customWidth="1"/>
    <col min="5" max="5" width="14.7109375" customWidth="1"/>
    <col min="6" max="6" width="14.28515625" customWidth="1"/>
    <col min="9" max="9" width="12" customWidth="1"/>
    <col min="10" max="10" width="77" customWidth="1"/>
    <col min="11" max="11" width="13.5703125" customWidth="1"/>
    <col min="12" max="12" width="49.28515625" customWidth="1"/>
    <col min="14" max="14" width="13.7109375" customWidth="1"/>
    <col min="17" max="17" width="34.28515625" customWidth="1"/>
  </cols>
  <sheetData>
    <row r="1" spans="1:19" ht="19.5" thickBot="1">
      <c r="A1" s="84" t="s">
        <v>300</v>
      </c>
      <c r="B1" s="775"/>
      <c r="C1" s="776"/>
      <c r="D1" s="775"/>
      <c r="E1" s="777"/>
      <c r="F1" s="777"/>
      <c r="G1" s="776"/>
      <c r="J1" s="85" t="s">
        <v>0</v>
      </c>
      <c r="K1" s="778" t="s">
        <v>250</v>
      </c>
      <c r="L1" s="778"/>
      <c r="M1" s="779"/>
      <c r="N1" s="67" t="s">
        <v>246</v>
      </c>
      <c r="O1" s="755" t="s">
        <v>1</v>
      </c>
      <c r="P1" s="755"/>
      <c r="Q1" s="756"/>
    </row>
    <row r="2" spans="1:19" ht="25.5" customHeight="1" thickBot="1">
      <c r="A2" s="60" t="s">
        <v>244</v>
      </c>
      <c r="B2" s="783" t="s">
        <v>243</v>
      </c>
      <c r="C2" s="784"/>
      <c r="D2" s="780" t="s">
        <v>242</v>
      </c>
      <c r="E2" s="781"/>
      <c r="F2" s="781"/>
      <c r="G2" s="782"/>
      <c r="H2" s="83" t="s">
        <v>250</v>
      </c>
      <c r="J2" s="24" t="s">
        <v>1</v>
      </c>
      <c r="N2" s="68" t="s">
        <v>247</v>
      </c>
      <c r="O2" s="757" t="s">
        <v>184</v>
      </c>
      <c r="P2" s="757"/>
      <c r="Q2" s="758"/>
    </row>
    <row r="3" spans="1:19" ht="30.75" thickBot="1">
      <c r="A3" s="678" t="s">
        <v>230</v>
      </c>
      <c r="B3" s="86">
        <v>1</v>
      </c>
      <c r="C3" s="38" t="s">
        <v>43</v>
      </c>
      <c r="D3" s="59" t="s">
        <v>241</v>
      </c>
      <c r="E3" s="58" t="s">
        <v>454</v>
      </c>
      <c r="F3" s="57" t="s">
        <v>240</v>
      </c>
      <c r="G3" s="56" t="s">
        <v>67</v>
      </c>
      <c r="J3" s="155" t="s">
        <v>103</v>
      </c>
      <c r="N3" s="69" t="s">
        <v>248</v>
      </c>
      <c r="O3" s="757" t="s">
        <v>145</v>
      </c>
      <c r="P3" s="757"/>
      <c r="Q3" s="758"/>
    </row>
    <row r="4" spans="1:19" ht="30" customHeight="1" thickBot="1">
      <c r="A4" s="679"/>
      <c r="B4" s="37" t="s">
        <v>239</v>
      </c>
      <c r="C4" s="328" t="s">
        <v>388</v>
      </c>
      <c r="D4" s="44" t="s">
        <v>223</v>
      </c>
      <c r="E4" s="9"/>
      <c r="F4" s="241" t="s">
        <v>140</v>
      </c>
      <c r="G4" s="34"/>
      <c r="J4" s="156" t="s">
        <v>237</v>
      </c>
      <c r="N4" s="70" t="s">
        <v>249</v>
      </c>
      <c r="O4" s="71" t="s">
        <v>4</v>
      </c>
      <c r="P4" s="30"/>
      <c r="Q4" s="29"/>
    </row>
    <row r="5" spans="1:19" ht="15.75" thickBot="1">
      <c r="A5" s="679"/>
      <c r="B5" s="87" t="s">
        <v>236</v>
      </c>
      <c r="C5" s="327" t="s">
        <v>386</v>
      </c>
      <c r="D5" s="36"/>
      <c r="E5" s="9"/>
      <c r="F5" s="45" t="s">
        <v>117</v>
      </c>
      <c r="G5" s="34"/>
      <c r="J5" s="157" t="s">
        <v>235</v>
      </c>
    </row>
    <row r="6" spans="1:19" ht="25.5">
      <c r="A6" s="679"/>
      <c r="B6" s="37" t="s">
        <v>234</v>
      </c>
      <c r="C6" s="328" t="s">
        <v>387</v>
      </c>
      <c r="D6" s="44" t="s">
        <v>203</v>
      </c>
      <c r="E6" s="9"/>
      <c r="F6" s="9"/>
      <c r="G6" s="34"/>
      <c r="I6" s="55"/>
      <c r="J6" s="22" t="s">
        <v>55</v>
      </c>
      <c r="K6" s="22"/>
      <c r="L6" s="17" t="s">
        <v>100</v>
      </c>
    </row>
    <row r="7" spans="1:19" ht="15" customHeight="1" thickBot="1">
      <c r="A7" s="680"/>
      <c r="B7" s="33" t="s">
        <v>233</v>
      </c>
      <c r="C7" s="333" t="s">
        <v>406</v>
      </c>
      <c r="D7" s="44" t="s">
        <v>217</v>
      </c>
      <c r="E7" s="9"/>
      <c r="F7" s="9"/>
      <c r="G7" s="34"/>
      <c r="I7" s="54" t="s">
        <v>232</v>
      </c>
      <c r="J7" s="53" t="s">
        <v>231</v>
      </c>
      <c r="K7" s="154"/>
      <c r="L7" s="186"/>
    </row>
    <row r="8" spans="1:19" ht="14.65" customHeight="1">
      <c r="A8" s="681" t="s">
        <v>230</v>
      </c>
      <c r="B8" s="86">
        <v>2</v>
      </c>
      <c r="C8" s="38" t="s">
        <v>45</v>
      </c>
      <c r="E8" s="9"/>
      <c r="F8" s="9"/>
      <c r="G8" s="34"/>
      <c r="I8" s="46" t="s">
        <v>229</v>
      </c>
      <c r="J8" s="158" t="s">
        <v>439</v>
      </c>
      <c r="K8" s="159" t="s">
        <v>228</v>
      </c>
      <c r="L8" s="160" t="s">
        <v>347</v>
      </c>
      <c r="M8" s="83" t="s">
        <v>250</v>
      </c>
      <c r="N8" s="695" t="s">
        <v>253</v>
      </c>
      <c r="O8" s="696"/>
      <c r="P8" s="696"/>
      <c r="Q8" s="697"/>
    </row>
    <row r="9" spans="1:19" ht="25.5">
      <c r="A9" s="682"/>
      <c r="B9" s="37" t="s">
        <v>227</v>
      </c>
      <c r="C9" s="334" t="s">
        <v>407</v>
      </c>
      <c r="D9" s="314" t="s">
        <v>229</v>
      </c>
      <c r="E9" s="315" t="s">
        <v>220</v>
      </c>
      <c r="F9" s="105"/>
      <c r="G9" s="106"/>
      <c r="I9" s="50" t="s">
        <v>220</v>
      </c>
      <c r="J9" s="759" t="s">
        <v>325</v>
      </c>
      <c r="K9" s="161" t="s">
        <v>225</v>
      </c>
      <c r="L9" s="770" t="s">
        <v>348</v>
      </c>
      <c r="N9" s="761" t="s">
        <v>254</v>
      </c>
      <c r="O9" s="762"/>
      <c r="P9" s="762"/>
      <c r="Q9" s="763"/>
      <c r="R9" s="82"/>
      <c r="S9" s="82"/>
    </row>
    <row r="10" spans="1:19" s="266" customFormat="1" ht="28.15" customHeight="1">
      <c r="A10" s="682"/>
      <c r="B10" s="37"/>
      <c r="C10" s="334"/>
      <c r="D10" s="310" t="s">
        <v>220</v>
      </c>
      <c r="E10" s="311"/>
      <c r="F10" s="312"/>
      <c r="G10" s="313"/>
      <c r="I10" s="52"/>
      <c r="J10" s="760"/>
      <c r="K10" s="325"/>
      <c r="L10" s="772"/>
      <c r="N10" s="764"/>
      <c r="O10" s="765"/>
      <c r="P10" s="765"/>
      <c r="Q10" s="766"/>
      <c r="R10" s="82"/>
      <c r="S10" s="82"/>
    </row>
    <row r="11" spans="1:19" ht="39" thickBot="1">
      <c r="A11" s="682"/>
      <c r="B11" s="39" t="s">
        <v>224</v>
      </c>
      <c r="C11" s="335" t="s">
        <v>389</v>
      </c>
      <c r="D11" s="36"/>
      <c r="E11" s="370"/>
      <c r="F11" s="241" t="s">
        <v>128</v>
      </c>
      <c r="G11" s="34"/>
      <c r="I11" s="50" t="s">
        <v>223</v>
      </c>
      <c r="J11" s="773" t="s">
        <v>346</v>
      </c>
      <c r="K11" s="161" t="s">
        <v>222</v>
      </c>
      <c r="L11" s="279" t="s">
        <v>349</v>
      </c>
      <c r="N11" s="767"/>
      <c r="O11" s="768"/>
      <c r="P11" s="768"/>
      <c r="Q11" s="769"/>
    </row>
    <row r="12" spans="1:19" ht="15" customHeight="1">
      <c r="A12" s="682"/>
      <c r="B12" s="37" t="s">
        <v>221</v>
      </c>
      <c r="C12" s="334" t="s">
        <v>390</v>
      </c>
      <c r="D12" s="44" t="s">
        <v>220</v>
      </c>
      <c r="E12" s="9"/>
      <c r="F12" s="9"/>
      <c r="G12" s="34"/>
      <c r="I12" s="48"/>
      <c r="J12" s="774"/>
      <c r="K12" s="161" t="s">
        <v>219</v>
      </c>
      <c r="L12" s="162" t="s">
        <v>158</v>
      </c>
    </row>
    <row r="13" spans="1:19" ht="30" customHeight="1">
      <c r="A13" s="682"/>
      <c r="B13" s="37" t="s">
        <v>218</v>
      </c>
      <c r="C13" s="334" t="s">
        <v>391</v>
      </c>
      <c r="D13" s="36"/>
      <c r="E13" s="9"/>
      <c r="F13" s="241" t="s">
        <v>136</v>
      </c>
      <c r="G13" s="34"/>
      <c r="I13" s="46" t="s">
        <v>217</v>
      </c>
      <c r="J13" s="163" t="s">
        <v>216</v>
      </c>
      <c r="K13" s="159" t="s">
        <v>215</v>
      </c>
      <c r="L13" s="160" t="s">
        <v>56</v>
      </c>
    </row>
    <row r="14" spans="1:19" ht="30" customHeight="1">
      <c r="A14" s="682"/>
      <c r="B14" s="37" t="s">
        <v>214</v>
      </c>
      <c r="C14" s="334" t="s">
        <v>392</v>
      </c>
      <c r="D14" s="44" t="s">
        <v>203</v>
      </c>
      <c r="E14" s="9"/>
      <c r="F14" s="9"/>
      <c r="G14" s="34"/>
      <c r="I14" s="50" t="s">
        <v>203</v>
      </c>
      <c r="J14" s="770" t="s">
        <v>213</v>
      </c>
      <c r="K14" s="161" t="s">
        <v>212</v>
      </c>
      <c r="L14" s="160" t="s">
        <v>350</v>
      </c>
    </row>
    <row r="15" spans="1:19" ht="25.5">
      <c r="A15" s="682"/>
      <c r="B15" s="37" t="s">
        <v>211</v>
      </c>
      <c r="C15" s="334" t="s">
        <v>393</v>
      </c>
      <c r="D15" s="44" t="s">
        <v>190</v>
      </c>
      <c r="E15" s="9"/>
      <c r="F15" s="241" t="s">
        <v>140</v>
      </c>
      <c r="G15" s="34"/>
      <c r="I15" s="52"/>
      <c r="J15" s="771"/>
      <c r="K15" s="161" t="s">
        <v>210</v>
      </c>
      <c r="L15" s="160" t="s">
        <v>351</v>
      </c>
    </row>
    <row r="16" spans="1:19" ht="30.75" customHeight="1" thickBot="1">
      <c r="A16" s="683"/>
      <c r="B16" s="33" t="s">
        <v>209</v>
      </c>
      <c r="C16" s="329" t="s">
        <v>394</v>
      </c>
      <c r="D16" s="44" t="s">
        <v>203</v>
      </c>
      <c r="E16" s="9"/>
      <c r="F16" s="9"/>
      <c r="G16" s="201" t="s">
        <v>91</v>
      </c>
      <c r="I16" s="52"/>
      <c r="J16" s="771"/>
      <c r="K16" s="161" t="s">
        <v>208</v>
      </c>
      <c r="L16" s="160" t="s">
        <v>352</v>
      </c>
    </row>
    <row r="17" spans="1:12" ht="14.65" customHeight="1">
      <c r="A17" s="681" t="s">
        <v>191</v>
      </c>
      <c r="B17" s="86">
        <v>3</v>
      </c>
      <c r="C17" s="38" t="s">
        <v>46</v>
      </c>
      <c r="D17" s="36"/>
      <c r="E17" s="9"/>
      <c r="F17" s="9"/>
      <c r="G17" s="202"/>
      <c r="I17" s="52"/>
      <c r="J17" s="771"/>
      <c r="K17" s="161" t="s">
        <v>207</v>
      </c>
      <c r="L17" s="160" t="s">
        <v>353</v>
      </c>
    </row>
    <row r="18" spans="1:12" ht="25.5">
      <c r="A18" s="684"/>
      <c r="B18" s="37" t="s">
        <v>206</v>
      </c>
      <c r="C18" s="334" t="s">
        <v>395</v>
      </c>
      <c r="D18" s="36"/>
      <c r="E18" s="35" t="s">
        <v>155</v>
      </c>
      <c r="F18" s="9"/>
      <c r="G18" s="202"/>
      <c r="I18" s="52"/>
      <c r="J18" s="771"/>
      <c r="K18" s="161" t="s">
        <v>205</v>
      </c>
      <c r="L18" s="316" t="s">
        <v>378</v>
      </c>
    </row>
    <row r="19" spans="1:12" ht="25.5">
      <c r="A19" s="684"/>
      <c r="B19" s="39" t="s">
        <v>204</v>
      </c>
      <c r="C19" s="335" t="s">
        <v>396</v>
      </c>
      <c r="D19" s="309" t="s">
        <v>203</v>
      </c>
      <c r="E19" s="35" t="s">
        <v>148</v>
      </c>
      <c r="F19" s="9"/>
      <c r="G19" s="202"/>
      <c r="I19" s="48"/>
      <c r="J19" s="772"/>
      <c r="K19" s="161" t="s">
        <v>202</v>
      </c>
      <c r="L19" s="160" t="s">
        <v>201</v>
      </c>
    </row>
    <row r="20" spans="1:12" ht="26.25" thickBot="1">
      <c r="A20" s="685"/>
      <c r="B20" s="33" t="s">
        <v>200</v>
      </c>
      <c r="C20" s="329" t="s">
        <v>397</v>
      </c>
      <c r="D20" s="44" t="s">
        <v>197</v>
      </c>
      <c r="E20" s="9"/>
      <c r="F20" s="9"/>
      <c r="G20" s="202"/>
      <c r="I20" s="46" t="s">
        <v>186</v>
      </c>
      <c r="J20" s="164" t="s">
        <v>50</v>
      </c>
      <c r="K20" s="159" t="s">
        <v>199</v>
      </c>
      <c r="L20" s="160" t="s">
        <v>57</v>
      </c>
    </row>
    <row r="21" spans="1:12" ht="30" customHeight="1">
      <c r="A21" s="51" t="s">
        <v>198</v>
      </c>
      <c r="B21" s="86">
        <v>4</v>
      </c>
      <c r="C21" s="38" t="s">
        <v>48</v>
      </c>
      <c r="D21" s="36"/>
      <c r="E21" s="9"/>
      <c r="F21" s="9"/>
      <c r="G21" s="202"/>
      <c r="I21" s="50" t="s">
        <v>197</v>
      </c>
      <c r="J21" s="770" t="s">
        <v>47</v>
      </c>
      <c r="K21" s="165" t="s">
        <v>196</v>
      </c>
      <c r="L21" s="160" t="s">
        <v>160</v>
      </c>
    </row>
    <row r="22" spans="1:12" ht="25.5">
      <c r="A22" s="682"/>
      <c r="B22" s="49" t="s">
        <v>195</v>
      </c>
      <c r="C22" s="334" t="s">
        <v>398</v>
      </c>
      <c r="D22" s="36"/>
      <c r="E22" s="35" t="s">
        <v>162</v>
      </c>
      <c r="F22" s="241" t="s">
        <v>120</v>
      </c>
      <c r="G22" s="202"/>
      <c r="I22" s="48"/>
      <c r="J22" s="772"/>
      <c r="K22" s="167"/>
      <c r="L22" s="160" t="s">
        <v>158</v>
      </c>
    </row>
    <row r="23" spans="1:12" ht="31.5" customHeight="1" thickBot="1">
      <c r="A23" s="685"/>
      <c r="B23" s="47" t="s">
        <v>194</v>
      </c>
      <c r="C23" s="329" t="s">
        <v>399</v>
      </c>
      <c r="D23" s="36"/>
      <c r="E23" s="9"/>
      <c r="F23" s="9"/>
      <c r="G23" s="201" t="s">
        <v>90</v>
      </c>
      <c r="I23" s="243" t="s">
        <v>193</v>
      </c>
      <c r="J23" s="734" t="s">
        <v>192</v>
      </c>
      <c r="K23" s="735"/>
      <c r="L23" s="736"/>
    </row>
    <row r="24" spans="1:12" ht="14.65" customHeight="1">
      <c r="A24" s="681" t="s">
        <v>191</v>
      </c>
      <c r="B24" s="86">
        <v>5</v>
      </c>
      <c r="C24" s="38" t="s">
        <v>49</v>
      </c>
      <c r="D24" s="36"/>
      <c r="E24" s="9"/>
      <c r="F24" s="9"/>
      <c r="G24" s="202"/>
      <c r="I24" s="46" t="s">
        <v>190</v>
      </c>
      <c r="J24" s="164" t="s">
        <v>438</v>
      </c>
      <c r="K24" s="159" t="s">
        <v>189</v>
      </c>
      <c r="L24" s="72" t="s">
        <v>58</v>
      </c>
    </row>
    <row r="25" spans="1:12">
      <c r="A25" s="684"/>
      <c r="B25" s="37" t="s">
        <v>188</v>
      </c>
      <c r="C25" s="330" t="s">
        <v>401</v>
      </c>
      <c r="D25" s="36"/>
      <c r="E25" s="9"/>
      <c r="F25" s="45" t="s">
        <v>105</v>
      </c>
      <c r="G25" s="202"/>
    </row>
    <row r="26" spans="1:12">
      <c r="A26" s="684"/>
      <c r="B26" s="37" t="s">
        <v>187</v>
      </c>
      <c r="C26" s="330" t="s">
        <v>402</v>
      </c>
      <c r="D26" s="44" t="s">
        <v>186</v>
      </c>
      <c r="E26" s="9"/>
      <c r="F26" s="9"/>
      <c r="G26" s="202"/>
    </row>
    <row r="27" spans="1:12" ht="16.5" customHeight="1" thickBot="1">
      <c r="A27" s="684"/>
      <c r="B27" s="37" t="s">
        <v>185</v>
      </c>
      <c r="C27" s="330" t="s">
        <v>403</v>
      </c>
      <c r="D27" s="36"/>
      <c r="E27" s="35" t="s">
        <v>148</v>
      </c>
      <c r="F27" s="9"/>
      <c r="G27" s="202"/>
      <c r="J27" s="24" t="s">
        <v>184</v>
      </c>
    </row>
    <row r="28" spans="1:12" ht="15.75" thickBot="1">
      <c r="A28" s="684"/>
      <c r="B28" s="39" t="s">
        <v>183</v>
      </c>
      <c r="C28" s="331" t="s">
        <v>404</v>
      </c>
      <c r="D28" s="36"/>
      <c r="E28" s="9"/>
      <c r="F28" s="9"/>
      <c r="G28" s="201" t="s">
        <v>91</v>
      </c>
      <c r="J28" s="155" t="s">
        <v>103</v>
      </c>
      <c r="K28" s="166"/>
      <c r="L28" s="166"/>
    </row>
    <row r="29" spans="1:12" ht="19.5" customHeight="1" thickBot="1">
      <c r="A29" s="685"/>
      <c r="B29" s="33" t="s">
        <v>182</v>
      </c>
      <c r="C29" s="332" t="s">
        <v>405</v>
      </c>
      <c r="D29" s="36"/>
      <c r="E29" s="9"/>
      <c r="F29" s="9"/>
      <c r="G29" s="201" t="s">
        <v>90</v>
      </c>
      <c r="J29" s="168" t="s">
        <v>181</v>
      </c>
      <c r="K29" s="166"/>
      <c r="L29" s="166"/>
    </row>
    <row r="30" spans="1:12" ht="14.65" customHeight="1">
      <c r="A30" s="43" t="s">
        <v>180</v>
      </c>
      <c r="B30" s="86">
        <v>6</v>
      </c>
      <c r="C30" s="38" t="s">
        <v>51</v>
      </c>
      <c r="D30" s="36"/>
      <c r="E30" s="9"/>
      <c r="F30" s="9"/>
      <c r="G30" s="34"/>
      <c r="J30" s="156" t="s">
        <v>179</v>
      </c>
      <c r="K30" s="166"/>
      <c r="L30" s="166"/>
    </row>
    <row r="31" spans="1:12" ht="15.75" thickBot="1">
      <c r="A31" s="42" t="s">
        <v>172</v>
      </c>
      <c r="B31" s="37" t="s">
        <v>178</v>
      </c>
      <c r="C31" s="334" t="s">
        <v>450</v>
      </c>
      <c r="D31" s="36"/>
      <c r="E31" s="35" t="s">
        <v>163</v>
      </c>
      <c r="F31" s="9"/>
      <c r="G31" s="34"/>
      <c r="J31" s="157" t="s">
        <v>177</v>
      </c>
      <c r="K31" s="166"/>
      <c r="L31" s="166"/>
    </row>
    <row r="32" spans="1:12" ht="15.75" thickBot="1">
      <c r="A32" s="41"/>
      <c r="B32" s="37" t="s">
        <v>176</v>
      </c>
      <c r="C32" s="334" t="s">
        <v>400</v>
      </c>
      <c r="D32" s="36"/>
      <c r="E32" s="35" t="s">
        <v>164</v>
      </c>
      <c r="F32" s="9"/>
      <c r="G32" s="34"/>
      <c r="J32" s="22" t="s">
        <v>55</v>
      </c>
      <c r="K32" s="22"/>
      <c r="L32" s="17" t="s">
        <v>100</v>
      </c>
    </row>
    <row r="33" spans="1:17" ht="21.75" thickBot="1">
      <c r="A33" s="40"/>
      <c r="B33" s="33" t="s">
        <v>175</v>
      </c>
      <c r="C33" s="329" t="s">
        <v>451</v>
      </c>
      <c r="D33" s="36"/>
      <c r="E33" s="35" t="s">
        <v>169</v>
      </c>
      <c r="F33" s="9"/>
      <c r="G33" s="34"/>
      <c r="I33" s="244" t="s">
        <v>174</v>
      </c>
      <c r="J33" s="269" t="s">
        <v>173</v>
      </c>
      <c r="K33" s="270"/>
      <c r="L33" s="271"/>
      <c r="M33" s="83" t="s">
        <v>250</v>
      </c>
      <c r="N33" s="698" t="s">
        <v>253</v>
      </c>
      <c r="O33" s="699"/>
      <c r="P33" s="699"/>
      <c r="Q33" s="700"/>
    </row>
    <row r="34" spans="1:17" ht="15" customHeight="1">
      <c r="A34" s="681" t="s">
        <v>172</v>
      </c>
      <c r="B34" s="86">
        <v>7</v>
      </c>
      <c r="C34" s="38" t="s">
        <v>52</v>
      </c>
      <c r="D34" s="36"/>
      <c r="E34" s="9"/>
      <c r="F34" s="9"/>
      <c r="G34" s="34"/>
      <c r="I34" s="27" t="s">
        <v>169</v>
      </c>
      <c r="J34" s="169" t="s">
        <v>54</v>
      </c>
      <c r="K34" s="178" t="s">
        <v>171</v>
      </c>
      <c r="L34" s="280" t="s">
        <v>354</v>
      </c>
      <c r="N34" s="701" t="s">
        <v>255</v>
      </c>
      <c r="O34" s="702"/>
      <c r="P34" s="702"/>
      <c r="Q34" s="703"/>
    </row>
    <row r="35" spans="1:17" ht="30">
      <c r="A35" s="682"/>
      <c r="B35" s="37" t="s">
        <v>170</v>
      </c>
      <c r="C35" s="336" t="s">
        <v>408</v>
      </c>
      <c r="D35" s="36"/>
      <c r="E35" s="35" t="s">
        <v>169</v>
      </c>
      <c r="F35" s="9"/>
      <c r="G35" s="34"/>
      <c r="I35" s="27"/>
      <c r="J35" s="171"/>
      <c r="K35" s="170" t="s">
        <v>168</v>
      </c>
      <c r="L35" s="279" t="s">
        <v>355</v>
      </c>
      <c r="N35" s="704"/>
      <c r="O35" s="705"/>
      <c r="P35" s="705"/>
      <c r="Q35" s="706"/>
    </row>
    <row r="36" spans="1:17" ht="26.25" thickBot="1">
      <c r="A36" s="683"/>
      <c r="B36" s="33" t="s">
        <v>167</v>
      </c>
      <c r="C36" s="337" t="s">
        <v>409</v>
      </c>
      <c r="D36" s="32"/>
      <c r="E36" s="31" t="s">
        <v>164</v>
      </c>
      <c r="F36" s="30"/>
      <c r="G36" s="29"/>
      <c r="I36" s="27"/>
      <c r="J36" s="171"/>
      <c r="K36" s="170" t="s">
        <v>166</v>
      </c>
      <c r="L36" s="279" t="s">
        <v>356</v>
      </c>
      <c r="N36" s="704"/>
      <c r="O36" s="705"/>
      <c r="P36" s="705"/>
      <c r="Q36" s="706"/>
    </row>
    <row r="37" spans="1:17" ht="30.75" customHeight="1" thickBot="1">
      <c r="I37" s="28"/>
      <c r="J37" s="172"/>
      <c r="K37" s="170" t="s">
        <v>165</v>
      </c>
      <c r="L37" s="162" t="s">
        <v>59</v>
      </c>
      <c r="N37" s="704"/>
      <c r="O37" s="705"/>
      <c r="P37" s="705"/>
      <c r="Q37" s="706"/>
    </row>
    <row r="38" spans="1:17" ht="51" customHeight="1" thickBot="1">
      <c r="B38" s="744" t="s">
        <v>342</v>
      </c>
      <c r="C38" s="745"/>
      <c r="I38" s="26" t="s">
        <v>164</v>
      </c>
      <c r="J38" s="163" t="s">
        <v>53</v>
      </c>
      <c r="K38" s="173"/>
      <c r="L38" s="174"/>
      <c r="N38" s="707"/>
      <c r="O38" s="708"/>
      <c r="P38" s="708"/>
      <c r="Q38" s="709"/>
    </row>
    <row r="39" spans="1:17" ht="45.75" thickBot="1">
      <c r="B39" s="740" t="s">
        <v>252</v>
      </c>
      <c r="C39" s="741"/>
      <c r="D39" s="198"/>
      <c r="E39" s="198"/>
      <c r="F39" s="198"/>
      <c r="G39" s="198"/>
      <c r="I39" s="25" t="s">
        <v>163</v>
      </c>
      <c r="J39" s="163" t="s">
        <v>40</v>
      </c>
      <c r="K39" s="175"/>
      <c r="L39" s="176"/>
      <c r="N39" s="82"/>
      <c r="O39" s="82"/>
      <c r="P39" s="82"/>
      <c r="Q39" s="82"/>
    </row>
    <row r="40" spans="1:17" ht="30" customHeight="1">
      <c r="A40" s="73"/>
      <c r="B40" s="238" t="s">
        <v>338</v>
      </c>
      <c r="C40" s="181" t="s">
        <v>410</v>
      </c>
      <c r="D40" s="9"/>
      <c r="E40" s="9"/>
      <c r="F40" s="241" t="s">
        <v>140</v>
      </c>
      <c r="G40" s="9"/>
      <c r="I40" s="26" t="s">
        <v>162</v>
      </c>
      <c r="J40" s="177" t="s">
        <v>41</v>
      </c>
      <c r="K40" s="178" t="s">
        <v>161</v>
      </c>
      <c r="L40" s="280" t="s">
        <v>349</v>
      </c>
      <c r="N40" s="82"/>
      <c r="O40" s="82"/>
      <c r="P40" s="82"/>
      <c r="Q40" s="82"/>
    </row>
    <row r="41" spans="1:17" ht="25.5">
      <c r="A41" s="74"/>
      <c r="B41" s="80" t="s">
        <v>339</v>
      </c>
      <c r="C41" s="239" t="s">
        <v>411</v>
      </c>
      <c r="D41" s="9"/>
      <c r="E41" s="9"/>
      <c r="F41" s="241" t="s">
        <v>133</v>
      </c>
      <c r="G41" s="9"/>
      <c r="I41" s="199"/>
      <c r="J41" s="171"/>
      <c r="K41" s="170" t="s">
        <v>159</v>
      </c>
      <c r="L41" s="162" t="s">
        <v>158</v>
      </c>
      <c r="N41" s="82"/>
      <c r="O41" s="82"/>
      <c r="P41" s="82"/>
      <c r="Q41" s="82"/>
    </row>
    <row r="42" spans="1:17" ht="25.5">
      <c r="A42" s="74"/>
      <c r="B42" s="238" t="s">
        <v>340</v>
      </c>
      <c r="C42" s="239" t="s">
        <v>412</v>
      </c>
      <c r="D42" s="9"/>
      <c r="E42" s="9"/>
      <c r="F42" s="241" t="s">
        <v>111</v>
      </c>
      <c r="G42" s="9"/>
      <c r="I42" s="244" t="s">
        <v>157</v>
      </c>
      <c r="J42" s="272" t="s">
        <v>156</v>
      </c>
      <c r="K42" s="273"/>
      <c r="L42" s="274"/>
      <c r="N42" s="82"/>
      <c r="O42" s="82"/>
      <c r="P42" s="82"/>
      <c r="Q42" s="82"/>
    </row>
    <row r="43" spans="1:17" ht="30">
      <c r="A43" s="74"/>
      <c r="B43" s="81" t="s">
        <v>341</v>
      </c>
      <c r="C43" s="181" t="s">
        <v>413</v>
      </c>
      <c r="D43" s="9"/>
      <c r="E43" s="9"/>
      <c r="F43" s="241" t="s">
        <v>107</v>
      </c>
      <c r="G43" s="9"/>
      <c r="I43" s="713" t="s">
        <v>155</v>
      </c>
      <c r="J43" s="169" t="s">
        <v>154</v>
      </c>
      <c r="K43" s="178" t="s">
        <v>153</v>
      </c>
      <c r="L43" s="280" t="s">
        <v>357</v>
      </c>
      <c r="N43" s="82"/>
      <c r="O43" s="82"/>
      <c r="P43" s="82"/>
      <c r="Q43" s="82"/>
    </row>
    <row r="44" spans="1:17" ht="32.25" customHeight="1">
      <c r="A44" s="74"/>
      <c r="B44" s="742"/>
      <c r="C44" s="742"/>
      <c r="D44" s="742"/>
      <c r="E44" s="742"/>
      <c r="F44" s="742"/>
      <c r="G44" s="742"/>
      <c r="I44" s="714"/>
      <c r="J44" s="171"/>
      <c r="K44" s="170" t="s">
        <v>152</v>
      </c>
      <c r="L44" s="279" t="s">
        <v>358</v>
      </c>
    </row>
    <row r="45" spans="1:17" ht="15" customHeight="1">
      <c r="B45" s="81" t="s">
        <v>336</v>
      </c>
      <c r="C45" s="237" t="s">
        <v>452</v>
      </c>
      <c r="D45" s="9"/>
      <c r="E45" s="9"/>
      <c r="F45" s="238"/>
      <c r="G45" s="242" t="s">
        <v>380</v>
      </c>
      <c r="I45" s="714"/>
      <c r="J45" s="171"/>
      <c r="K45" s="170" t="s">
        <v>151</v>
      </c>
      <c r="L45" s="279" t="s">
        <v>359</v>
      </c>
    </row>
    <row r="46" spans="1:17" ht="30" customHeight="1">
      <c r="B46" s="81" t="s">
        <v>337</v>
      </c>
      <c r="C46" s="240" t="s">
        <v>414</v>
      </c>
      <c r="D46" s="9"/>
      <c r="E46" s="9"/>
      <c r="F46" s="238"/>
      <c r="G46" s="242" t="s">
        <v>92</v>
      </c>
      <c r="I46" s="715"/>
      <c r="J46" s="172"/>
      <c r="K46" s="170" t="s">
        <v>150</v>
      </c>
      <c r="L46" s="162" t="s">
        <v>149</v>
      </c>
    </row>
    <row r="47" spans="1:17" ht="30">
      <c r="I47" s="25" t="s">
        <v>148</v>
      </c>
      <c r="J47" s="181" t="s">
        <v>147</v>
      </c>
      <c r="K47" s="179" t="s">
        <v>146</v>
      </c>
      <c r="L47" s="180" t="s">
        <v>60</v>
      </c>
    </row>
    <row r="50" spans="2:17" ht="15.75" thickBot="1">
      <c r="B50" s="142" t="s">
        <v>245</v>
      </c>
      <c r="C50" s="112"/>
      <c r="D50" s="112"/>
      <c r="E50" s="112"/>
      <c r="F50" s="112"/>
      <c r="J50" s="182" t="s">
        <v>145</v>
      </c>
      <c r="K50" s="166"/>
      <c r="L50" s="166"/>
    </row>
    <row r="51" spans="2:17" ht="15.75" thickBot="1">
      <c r="B51" s="318">
        <v>26</v>
      </c>
      <c r="C51" s="319" t="s">
        <v>383</v>
      </c>
      <c r="D51" s="125"/>
      <c r="E51" s="320"/>
      <c r="F51" s="143"/>
      <c r="G51" s="93"/>
      <c r="H51" s="93"/>
      <c r="J51" s="155" t="s">
        <v>103</v>
      </c>
      <c r="K51" s="166"/>
      <c r="L51" s="166"/>
    </row>
    <row r="52" spans="2:17">
      <c r="B52" s="321"/>
      <c r="C52" s="321"/>
      <c r="D52" s="321"/>
      <c r="E52" s="143"/>
      <c r="F52" s="143"/>
      <c r="G52" s="93"/>
      <c r="H52" s="93"/>
      <c r="J52" s="168" t="s">
        <v>144</v>
      </c>
      <c r="K52" s="166"/>
      <c r="L52" s="166"/>
    </row>
    <row r="53" spans="2:17" ht="15.75" thickBot="1">
      <c r="B53" s="112"/>
      <c r="C53" s="112"/>
      <c r="D53" s="112"/>
      <c r="E53" s="112"/>
      <c r="F53" s="112"/>
      <c r="J53" s="183" t="s">
        <v>143</v>
      </c>
      <c r="K53" s="166"/>
      <c r="L53" s="166"/>
    </row>
    <row r="54" spans="2:17" ht="15.75" thickBot="1">
      <c r="B54" s="112"/>
      <c r="C54" s="112"/>
      <c r="D54" s="112"/>
      <c r="E54" s="112"/>
      <c r="F54" s="112"/>
      <c r="I54" s="23"/>
      <c r="J54" s="22" t="s">
        <v>55</v>
      </c>
      <c r="K54" s="22"/>
      <c r="L54" s="19" t="s">
        <v>100</v>
      </c>
    </row>
    <row r="55" spans="2:17" ht="21">
      <c r="B55" s="112"/>
      <c r="C55" s="112"/>
      <c r="D55" s="112"/>
      <c r="E55" s="112"/>
      <c r="F55" s="112"/>
      <c r="I55" s="341" t="s">
        <v>142</v>
      </c>
      <c r="J55" s="275" t="s">
        <v>141</v>
      </c>
      <c r="K55" s="273"/>
      <c r="L55" s="274"/>
      <c r="M55" s="83" t="s">
        <v>250</v>
      </c>
      <c r="N55" s="692" t="s">
        <v>253</v>
      </c>
      <c r="O55" s="693"/>
      <c r="P55" s="693"/>
      <c r="Q55" s="694"/>
    </row>
    <row r="56" spans="2:17" ht="15.75" customHeight="1" thickBot="1">
      <c r="B56" s="146" t="s">
        <v>313</v>
      </c>
      <c r="C56" s="112"/>
      <c r="D56" s="112"/>
      <c r="E56" s="112"/>
      <c r="F56" s="112"/>
      <c r="I56" s="717" t="s">
        <v>140</v>
      </c>
      <c r="J56" s="720" t="s">
        <v>61</v>
      </c>
      <c r="K56" s="187" t="s">
        <v>139</v>
      </c>
      <c r="L56" s="281" t="s">
        <v>360</v>
      </c>
      <c r="N56" s="701" t="s">
        <v>256</v>
      </c>
      <c r="O56" s="702"/>
      <c r="P56" s="702"/>
      <c r="Q56" s="703"/>
    </row>
    <row r="57" spans="2:17" ht="14.65" customHeight="1">
      <c r="B57" s="746" t="s">
        <v>453</v>
      </c>
      <c r="C57" s="747"/>
      <c r="D57" s="747"/>
      <c r="E57" s="748"/>
      <c r="F57" s="112"/>
      <c r="I57" s="718"/>
      <c r="J57" s="721"/>
      <c r="K57" s="184" t="s">
        <v>138</v>
      </c>
      <c r="L57" s="180" t="s">
        <v>137</v>
      </c>
      <c r="N57" s="704"/>
      <c r="O57" s="705"/>
      <c r="P57" s="705"/>
      <c r="Q57" s="706"/>
    </row>
    <row r="58" spans="2:17">
      <c r="B58" s="749"/>
      <c r="C58" s="750"/>
      <c r="D58" s="750"/>
      <c r="E58" s="751"/>
      <c r="F58" s="112"/>
      <c r="I58" s="21" t="s">
        <v>136</v>
      </c>
      <c r="J58" s="185" t="s">
        <v>135</v>
      </c>
      <c r="K58" s="184" t="s">
        <v>134</v>
      </c>
      <c r="L58" s="180" t="s">
        <v>62</v>
      </c>
      <c r="N58" s="704"/>
      <c r="O58" s="705"/>
      <c r="P58" s="705"/>
      <c r="Q58" s="706"/>
    </row>
    <row r="59" spans="2:17">
      <c r="B59" s="749"/>
      <c r="C59" s="750"/>
      <c r="D59" s="750"/>
      <c r="E59" s="751"/>
      <c r="F59" s="112"/>
      <c r="I59" s="716" t="s">
        <v>133</v>
      </c>
      <c r="J59" s="719" t="s">
        <v>36</v>
      </c>
      <c r="K59" s="184" t="s">
        <v>132</v>
      </c>
      <c r="L59" s="278" t="s">
        <v>345</v>
      </c>
      <c r="N59" s="704"/>
      <c r="O59" s="705"/>
      <c r="P59" s="705"/>
      <c r="Q59" s="706"/>
    </row>
    <row r="60" spans="2:17">
      <c r="B60" s="749"/>
      <c r="C60" s="750"/>
      <c r="D60" s="750"/>
      <c r="E60" s="751"/>
      <c r="F60" s="112"/>
      <c r="I60" s="717"/>
      <c r="J60" s="720"/>
      <c r="K60" s="184" t="s">
        <v>131</v>
      </c>
      <c r="L60" s="278" t="s">
        <v>361</v>
      </c>
      <c r="N60" s="704"/>
      <c r="O60" s="705"/>
      <c r="P60" s="705"/>
      <c r="Q60" s="706"/>
    </row>
    <row r="61" spans="2:17" ht="15.75" thickBot="1">
      <c r="B61" s="752"/>
      <c r="C61" s="753"/>
      <c r="D61" s="753"/>
      <c r="E61" s="754"/>
      <c r="F61" s="112"/>
      <c r="I61" s="717"/>
      <c r="J61" s="720"/>
      <c r="K61" s="184" t="s">
        <v>130</v>
      </c>
      <c r="L61" s="180" t="s">
        <v>123</v>
      </c>
      <c r="N61" s="704"/>
      <c r="O61" s="705"/>
      <c r="P61" s="705"/>
      <c r="Q61" s="706"/>
    </row>
    <row r="62" spans="2:17">
      <c r="B62" s="144"/>
      <c r="C62" s="112"/>
      <c r="D62" s="145"/>
      <c r="E62" s="112"/>
      <c r="F62" s="112"/>
      <c r="I62" s="718"/>
      <c r="J62" s="721"/>
      <c r="K62" s="184" t="s">
        <v>129</v>
      </c>
      <c r="L62" s="180" t="s">
        <v>121</v>
      </c>
      <c r="N62" s="704"/>
      <c r="O62" s="705"/>
      <c r="P62" s="705"/>
      <c r="Q62" s="706"/>
    </row>
    <row r="63" spans="2:17" ht="30.75" customHeight="1">
      <c r="B63" s="142" t="s">
        <v>252</v>
      </c>
      <c r="C63" s="277"/>
      <c r="D63" s="277"/>
      <c r="E63" s="277"/>
      <c r="F63" s="143"/>
      <c r="G63" s="93"/>
      <c r="H63" s="93"/>
      <c r="I63" s="716" t="s">
        <v>128</v>
      </c>
      <c r="J63" s="719" t="s">
        <v>127</v>
      </c>
      <c r="K63" s="184" t="s">
        <v>126</v>
      </c>
      <c r="L63" s="278" t="s">
        <v>362</v>
      </c>
      <c r="N63" s="704"/>
      <c r="O63" s="705"/>
      <c r="P63" s="705"/>
      <c r="Q63" s="706"/>
    </row>
    <row r="64" spans="2:17">
      <c r="B64" s="318">
        <v>6</v>
      </c>
      <c r="C64" s="319" t="s">
        <v>436</v>
      </c>
      <c r="D64" s="324"/>
      <c r="E64" s="143"/>
      <c r="F64" s="143"/>
      <c r="G64" s="93"/>
      <c r="H64" s="93"/>
      <c r="I64" s="717"/>
      <c r="J64" s="720"/>
      <c r="K64" s="184" t="s">
        <v>125</v>
      </c>
      <c r="L64" s="278" t="s">
        <v>363</v>
      </c>
      <c r="N64" s="704"/>
      <c r="O64" s="705"/>
      <c r="P64" s="705"/>
      <c r="Q64" s="706"/>
    </row>
    <row r="65" spans="2:17">
      <c r="B65" s="323" t="s">
        <v>384</v>
      </c>
      <c r="C65" s="125"/>
      <c r="D65" s="324"/>
      <c r="E65" s="143"/>
      <c r="F65" s="143"/>
      <c r="G65" s="93"/>
      <c r="H65" s="93"/>
      <c r="I65" s="717"/>
      <c r="J65" s="720"/>
      <c r="K65" s="184" t="s">
        <v>124</v>
      </c>
      <c r="L65" s="278" t="s">
        <v>364</v>
      </c>
      <c r="N65" s="704"/>
      <c r="O65" s="705"/>
      <c r="P65" s="705"/>
      <c r="Q65" s="706"/>
    </row>
    <row r="66" spans="2:17" ht="15.75" thickBot="1">
      <c r="B66" s="322">
        <v>53</v>
      </c>
      <c r="C66" s="319" t="s">
        <v>437</v>
      </c>
      <c r="D66" s="324"/>
      <c r="E66" s="143"/>
      <c r="I66" s="718"/>
      <c r="J66" s="721"/>
      <c r="K66" s="184" t="s">
        <v>122</v>
      </c>
      <c r="L66" s="180" t="s">
        <v>121</v>
      </c>
      <c r="N66" s="710"/>
      <c r="O66" s="711"/>
      <c r="P66" s="711"/>
      <c r="Q66" s="712"/>
    </row>
    <row r="67" spans="2:17" ht="30">
      <c r="B67" s="277"/>
      <c r="C67" s="277"/>
      <c r="D67" s="277"/>
      <c r="E67" s="277"/>
      <c r="I67" s="21" t="s">
        <v>120</v>
      </c>
      <c r="J67" s="185" t="s">
        <v>119</v>
      </c>
      <c r="K67" s="184" t="s">
        <v>118</v>
      </c>
      <c r="L67" s="180" t="s">
        <v>63</v>
      </c>
    </row>
    <row r="68" spans="2:17" ht="30.75" customHeight="1">
      <c r="B68" s="743"/>
      <c r="C68" s="743"/>
      <c r="D68" s="743"/>
      <c r="E68" s="743"/>
      <c r="I68" s="716" t="s">
        <v>117</v>
      </c>
      <c r="J68" s="719" t="s">
        <v>44</v>
      </c>
      <c r="K68" s="184" t="s">
        <v>116</v>
      </c>
      <c r="L68" s="278" t="s">
        <v>365</v>
      </c>
    </row>
    <row r="69" spans="2:17" ht="30">
      <c r="I69" s="717"/>
      <c r="J69" s="720"/>
      <c r="K69" s="184" t="s">
        <v>115</v>
      </c>
      <c r="L69" s="278" t="s">
        <v>366</v>
      </c>
    </row>
    <row r="70" spans="2:17">
      <c r="B70" s="198"/>
      <c r="I70" s="717"/>
      <c r="J70" s="720"/>
      <c r="K70" s="184" t="s">
        <v>114</v>
      </c>
      <c r="L70" s="278" t="s">
        <v>367</v>
      </c>
    </row>
    <row r="71" spans="2:17">
      <c r="I71" s="718"/>
      <c r="J71" s="721"/>
      <c r="K71" s="184" t="s">
        <v>113</v>
      </c>
      <c r="L71" s="180" t="s">
        <v>112</v>
      </c>
    </row>
    <row r="72" spans="2:17" ht="45">
      <c r="I72" s="20" t="s">
        <v>111</v>
      </c>
      <c r="J72" s="185" t="s">
        <v>65</v>
      </c>
      <c r="K72" s="184" t="s">
        <v>110</v>
      </c>
      <c r="L72" s="180" t="s">
        <v>64</v>
      </c>
    </row>
    <row r="73" spans="2:17">
      <c r="I73" s="21" t="s">
        <v>109</v>
      </c>
      <c r="J73" s="737" t="s">
        <v>108</v>
      </c>
      <c r="K73" s="738"/>
      <c r="L73" s="739"/>
    </row>
    <row r="74" spans="2:17" ht="30">
      <c r="I74" s="20" t="s">
        <v>107</v>
      </c>
      <c r="J74" s="197" t="s">
        <v>39</v>
      </c>
      <c r="K74" s="187" t="s">
        <v>106</v>
      </c>
      <c r="L74" s="281" t="s">
        <v>368</v>
      </c>
    </row>
    <row r="75" spans="2:17" ht="30">
      <c r="I75" s="21" t="s">
        <v>105</v>
      </c>
      <c r="J75" s="185" t="s">
        <v>104</v>
      </c>
      <c r="K75" s="184" t="s">
        <v>379</v>
      </c>
      <c r="L75" s="180" t="s">
        <v>66</v>
      </c>
    </row>
    <row r="78" spans="2:17" ht="15.75" thickBot="1">
      <c r="J78" s="188" t="s">
        <v>4</v>
      </c>
      <c r="K78" s="166"/>
      <c r="L78" s="166"/>
    </row>
    <row r="79" spans="2:17" ht="15.75" thickBot="1">
      <c r="J79" s="155" t="s">
        <v>103</v>
      </c>
      <c r="K79" s="166"/>
      <c r="L79" s="166"/>
    </row>
    <row r="80" spans="2:17">
      <c r="J80" s="189" t="s">
        <v>102</v>
      </c>
      <c r="K80" s="166"/>
      <c r="L80" s="166"/>
    </row>
    <row r="81" spans="9:17" ht="15.75" thickBot="1">
      <c r="J81" s="157" t="s">
        <v>101</v>
      </c>
      <c r="K81" s="166"/>
      <c r="L81" s="166"/>
    </row>
    <row r="82" spans="9:17" ht="15.75" thickBot="1">
      <c r="J82" s="19" t="s">
        <v>55</v>
      </c>
      <c r="K82" s="18"/>
      <c r="L82" s="19" t="s">
        <v>100</v>
      </c>
    </row>
    <row r="83" spans="9:17" ht="21">
      <c r="I83" s="200" t="s">
        <v>99</v>
      </c>
      <c r="J83" s="276" t="s">
        <v>98</v>
      </c>
      <c r="K83" s="245"/>
      <c r="L83" s="246"/>
      <c r="M83" s="83" t="s">
        <v>250</v>
      </c>
      <c r="N83" s="728" t="s">
        <v>257</v>
      </c>
      <c r="O83" s="729"/>
      <c r="P83" s="729"/>
      <c r="Q83" s="730"/>
    </row>
    <row r="84" spans="9:17" ht="45">
      <c r="I84" s="339" t="s">
        <v>380</v>
      </c>
      <c r="J84" s="317" t="s">
        <v>381</v>
      </c>
      <c r="K84" s="193" t="s">
        <v>97</v>
      </c>
      <c r="L84" s="282" t="s">
        <v>369</v>
      </c>
      <c r="N84" s="722" t="s">
        <v>326</v>
      </c>
      <c r="O84" s="723"/>
      <c r="P84" s="723"/>
      <c r="Q84" s="724"/>
    </row>
    <row r="85" spans="9:17" ht="30">
      <c r="I85" s="340"/>
      <c r="J85" s="166"/>
      <c r="K85" s="195" t="s">
        <v>96</v>
      </c>
      <c r="L85" s="174" t="s">
        <v>95</v>
      </c>
      <c r="N85" s="731"/>
      <c r="O85" s="732"/>
      <c r="P85" s="732"/>
      <c r="Q85" s="733"/>
    </row>
    <row r="86" spans="9:17" ht="16.5" customHeight="1">
      <c r="I86" s="200" t="s">
        <v>94</v>
      </c>
      <c r="J86" s="338" t="s">
        <v>93</v>
      </c>
      <c r="K86" s="245"/>
      <c r="L86" s="246"/>
      <c r="N86" s="722" t="s">
        <v>327</v>
      </c>
      <c r="O86" s="723"/>
      <c r="P86" s="723"/>
      <c r="Q86" s="724"/>
    </row>
    <row r="87" spans="9:17" ht="30">
      <c r="I87" s="16" t="s">
        <v>92</v>
      </c>
      <c r="J87" s="380" t="s">
        <v>37</v>
      </c>
      <c r="K87" s="196"/>
      <c r="L87" s="194"/>
      <c r="N87" s="731"/>
      <c r="O87" s="732"/>
      <c r="P87" s="732"/>
      <c r="Q87" s="733"/>
    </row>
    <row r="88" spans="9:17" ht="30">
      <c r="I88" s="15" t="s">
        <v>91</v>
      </c>
      <c r="J88" s="191" t="s">
        <v>38</v>
      </c>
      <c r="K88" s="190"/>
      <c r="L88" s="174"/>
      <c r="N88" s="722" t="s">
        <v>328</v>
      </c>
      <c r="O88" s="723"/>
      <c r="P88" s="723"/>
      <c r="Q88" s="724"/>
    </row>
    <row r="89" spans="9:17" ht="15.75" thickBot="1">
      <c r="I89" s="686" t="s">
        <v>90</v>
      </c>
      <c r="J89" s="689" t="s">
        <v>89</v>
      </c>
      <c r="K89" s="192" t="s">
        <v>88</v>
      </c>
      <c r="L89" s="283" t="s">
        <v>370</v>
      </c>
      <c r="N89" s="725"/>
      <c r="O89" s="726"/>
      <c r="P89" s="726"/>
      <c r="Q89" s="727"/>
    </row>
    <row r="90" spans="9:17">
      <c r="I90" s="687"/>
      <c r="J90" s="690"/>
      <c r="K90" s="192" t="s">
        <v>87</v>
      </c>
      <c r="L90" s="283" t="s">
        <v>371</v>
      </c>
    </row>
    <row r="91" spans="9:17" ht="45">
      <c r="I91" s="687"/>
      <c r="J91" s="690"/>
      <c r="K91" s="192" t="s">
        <v>86</v>
      </c>
      <c r="L91" s="283" t="s">
        <v>372</v>
      </c>
    </row>
    <row r="92" spans="9:17">
      <c r="I92" s="687"/>
      <c r="J92" s="690"/>
      <c r="K92" s="192" t="s">
        <v>85</v>
      </c>
      <c r="L92" s="283" t="s">
        <v>373</v>
      </c>
    </row>
    <row r="93" spans="9:17">
      <c r="I93" s="687"/>
      <c r="J93" s="690"/>
      <c r="K93" s="192" t="s">
        <v>84</v>
      </c>
      <c r="L93" s="283" t="s">
        <v>374</v>
      </c>
    </row>
    <row r="94" spans="9:17">
      <c r="I94" s="688"/>
      <c r="J94" s="691"/>
      <c r="K94" s="192" t="s">
        <v>83</v>
      </c>
      <c r="L94" s="180" t="s">
        <v>82</v>
      </c>
    </row>
  </sheetData>
  <mergeCells count="47">
    <mergeCell ref="B1:C1"/>
    <mergeCell ref="D1:G1"/>
    <mergeCell ref="K1:M1"/>
    <mergeCell ref="D2:G2"/>
    <mergeCell ref="B2:C2"/>
    <mergeCell ref="O1:Q1"/>
    <mergeCell ref="I68:I71"/>
    <mergeCell ref="J68:J71"/>
    <mergeCell ref="O2:Q2"/>
    <mergeCell ref="O3:Q3"/>
    <mergeCell ref="J9:J10"/>
    <mergeCell ref="N9:Q11"/>
    <mergeCell ref="J14:J19"/>
    <mergeCell ref="J11:J12"/>
    <mergeCell ref="J21:J22"/>
    <mergeCell ref="L9:L10"/>
    <mergeCell ref="N86:Q87"/>
    <mergeCell ref="J23:L23"/>
    <mergeCell ref="J73:L73"/>
    <mergeCell ref="J56:J57"/>
    <mergeCell ref="B39:C39"/>
    <mergeCell ref="B44:G44"/>
    <mergeCell ref="B68:E68"/>
    <mergeCell ref="B38:C38"/>
    <mergeCell ref="B57:E61"/>
    <mergeCell ref="I89:I94"/>
    <mergeCell ref="J89:J94"/>
    <mergeCell ref="N55:Q55"/>
    <mergeCell ref="N8:Q8"/>
    <mergeCell ref="N33:Q33"/>
    <mergeCell ref="N34:Q38"/>
    <mergeCell ref="N56:Q66"/>
    <mergeCell ref="I43:I46"/>
    <mergeCell ref="I59:I62"/>
    <mergeCell ref="J59:J62"/>
    <mergeCell ref="I63:I66"/>
    <mergeCell ref="J63:J66"/>
    <mergeCell ref="I56:I57"/>
    <mergeCell ref="N88:Q89"/>
    <mergeCell ref="N83:Q83"/>
    <mergeCell ref="N84:Q85"/>
    <mergeCell ref="A3:A7"/>
    <mergeCell ref="A8:A16"/>
    <mergeCell ref="A17:A20"/>
    <mergeCell ref="A24:A29"/>
    <mergeCell ref="A34:A36"/>
    <mergeCell ref="A22:A23"/>
  </mergeCells>
  <dataValidations xWindow="1594" yWindow="877" count="29">
    <dataValidation allowBlank="1" showInputMessage="1" showErrorMessage="1" promptTitle="Design, innovation et créativité" prompt="Imaginer des solutions pour produire des objets et des éléments de programmes informatiques en réponse au besoin." sqref="D16 D14 D19 D6" xr:uid="{00000000-0002-0000-0200-000000000000}"/>
    <dataValidation allowBlank="1" showInputMessage="1" showErrorMessage="1" promptTitle="Modélisation simulation OT" prompt="Utiliser une modélisation pour comprendre, formaliser, partager, construire, investiguer, prouver." sqref="F43" xr:uid="{00000000-0002-0000-0200-000001000000}"/>
    <dataValidation allowBlank="1" showInputMessage="1" showErrorMessage="1" promptTitle="Modélisation simulation OT" prompt="Respecter une procédure de travail garantissant un résultat en respectant les règles de sécurité et d’utilisation des outils mis à disposition." sqref="F40 F15 F4" xr:uid="{00000000-0002-0000-0200-000002000000}"/>
    <dataValidation allowBlank="1" showInputMessage="1" showErrorMessage="1" promptTitle="Modélisation simulation OT" prompt="Interpréter des résultats expérimentaux, en tirer une conclusion et la communiquer en argumentant." sqref="F42" xr:uid="{00000000-0002-0000-0200-000003000000}"/>
    <dataValidation allowBlank="1" showInputMessage="1" showErrorMessage="1" promptTitle="Modélisation simulation OT" prompt="Analyser le fonctionnement et la structure d’un objet, identifier les entrées et sorties." sqref="F41" xr:uid="{00000000-0002-0000-0200-000004000000}"/>
    <dataValidation allowBlank="1" showInputMessage="1" showErrorMessage="1" promptTitle="Informatique et programmation" prompt="Analyser le fonctionnement et la structure d’un objet" sqref="G45" xr:uid="{00000000-0002-0000-0200-000005000000}"/>
    <dataValidation allowBlank="1" showInputMessage="1" showErrorMessage="1" promptTitle="Modélisation simulation OT" prompt="Simuler numériquement la structure et/ou le comportement d’un objet. Interpréter le comportement de l’objet technique et le communiquer en argumentant." sqref="F25" xr:uid="{00000000-0002-0000-0200-000006000000}"/>
    <dataValidation allowBlank="1" showInputMessage="1" showErrorMessage="1" promptTitle="Design, innovation et créativité" prompt="Imaginer, synthétiser et formaliser une procédure, un protocole." sqref="D4" xr:uid="{00000000-0002-0000-0200-00000700000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2" xr:uid="{00000000-0002-0000-0200-000008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0" xr:uid="{00000000-0002-0000-0200-000009000000}"/>
    <dataValidation allowBlank="1" showInputMessage="1" showErrorMessage="1" promptTitle="Design, innovation et créativité" prompt="Réaliser, de manière collaborative, le prototype d’un objet pour valider une solution" sqref="D15" xr:uid="{00000000-0002-0000-0200-00000A000000}"/>
    <dataValidation allowBlank="1" showInputMessage="1" showErrorMessage="1" promptTitle="Design, innovation et créativité" prompt="Organiser, structurer et stocker des ressources numériques." sqref="D26" xr:uid="{00000000-0002-0000-0200-00000B000000}"/>
    <dataValidation allowBlank="1" showInputMessage="1" showErrorMessage="1" promptTitle="Design, innovation et créativité" prompt="Présenter à l’oral et à l’aide de supports numériques multimédia des solutions techniques au moment des revues de projet." sqref="D20" xr:uid="{00000000-0002-0000-0200-00000C000000}"/>
    <dataValidation allowBlank="1" showInputMessage="1" showErrorMessage="1" promptTitle="OT, Changts  induits société" sqref="D11" xr:uid="{00000000-0002-0000-0200-00000D000000}"/>
    <dataValidation allowBlank="1" showInputMessage="1" showErrorMessage="1" promptTitle="OT, Changts  induits société" prompt="Exprimer sa pensée à l’aide d’outils de description adaptés : croquis, schémas, graphes, diagrammes, tableaux. " sqref="E18" xr:uid="{00000000-0002-0000-0200-00000E000000}"/>
    <dataValidation allowBlank="1" showInputMessage="1" showErrorMessage="1" promptTitle="OT, Changts  induits société" prompt="Lire, utiliser et produire, à l’aide d’outils de représentation numérique, des choix de solutions sous forme de dessins ou de schémas." sqref="E19 E27" xr:uid="{00000000-0002-0000-0200-00000F000000}"/>
    <dataValidation allowBlank="1" showInputMessage="1" showErrorMessage="1" promptTitle="OT, Changts  induits société" prompt="Élaborer un document qui synthétise ces comparaisons et ces commentaires." sqref="E22" xr:uid="{00000000-0002-0000-0200-000010000000}"/>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1 E36" xr:uid="{00000000-0002-0000-0200-000011000000}"/>
    <dataValidation allowBlank="1" showInputMessage="1" showErrorMessage="1" promptTitle="OT, Changts  induits société" prompt="Comparer et commenter les évolutions des objets et systèmes" sqref="E32" xr:uid="{00000000-0002-0000-0200-000013000000}"/>
    <dataValidation allowBlank="1" showInputMessage="1" showErrorMessage="1" promptTitle="OT, Changts  induits société" prompt="Regrouper des objets en familles et lignées." sqref="E33 E35" xr:uid="{00000000-0002-0000-0200-000014000000}"/>
    <dataValidation allowBlank="1" showInputMessage="1" showErrorMessage="1" promptTitle="Modélisation simulation OT" prompt="Mesurer des grandeurs de manière directe ou indirecte. " sqref="F5" xr:uid="{00000000-0002-0000-0200-000015000000}"/>
    <dataValidation allowBlank="1" showInputMessage="1" showErrorMessage="1" promptTitle="Modélisation simulation OT" prompt="Identifier le(s) matériau(x), les flux d’énergie et d’information sur un objet et décrire les transformations qui s’opèrent." sqref="F11" xr:uid="{00000000-0002-0000-0200-000016000000}"/>
    <dataValidation allowBlank="1" showInputMessage="1" showErrorMessage="1" promptTitle="Modélisation simulation OT" prompt="Associer des solutions techniques à des fonctions." sqref="F13" xr:uid="{00000000-0002-0000-0200-000017000000}"/>
    <dataValidation allowBlank="1" showInputMessage="1" showErrorMessage="1" promptTitle="Modélisation simulation OT" prompt="Décrire, en utilisant les outils et langages de descriptions adaptés, le fonctionnement, la structure et le comportement des objets." sqref="F22" xr:uid="{00000000-0002-0000-0200-000018000000}"/>
    <dataValidation allowBlank="1" showInputMessage="1" showErrorMessage="1" promptTitle="Informatique et programmation" prompt="Écrire, mettre au point (tester, corriger) et exécuter un programme commandant un système réel et vérifier le comportement attendu." sqref="G16 G28" xr:uid="{00000000-0002-0000-0200-000019000000}"/>
    <dataValidation allowBlank="1" showInputMessage="1" showErrorMessage="1" promptTitle="Informatique et programmation" prompt="Écrire un programme dans lequel des actions sont déclenchées par des événements extérieurs." sqref="G23 G29" xr:uid="{00000000-0002-0000-0200-00001A000000}"/>
    <dataValidation allowBlank="1" showInputMessage="1" showErrorMessage="1" promptTitle="Design, innovation et créativité" prompt="Participer à l’organisation de projets, la définition des rôles, la planification (se projeter et anticiper) et aux revues de projet." sqref="D7" xr:uid="{00000000-0002-0000-0200-00001B000000}"/>
    <dataValidation allowBlank="1" showInputMessage="1" showErrorMessage="1" promptTitle="Informatique et programmation" prompt="Analyser le comportement attendu d’un système réel et décomposer le problème posé en sous-problèmes afin de structurer un programme de commande." sqref="G46" xr:uid="{00000000-0002-0000-0200-00001D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existant ou à créer._x000a__x000a_" sqref="D9" xr:uid="{00000000-0002-0000-0200-00001E000000}"/>
  </dataValidation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99E54-C29F-45B9-B076-AA567835A869}">
  <sheetPr>
    <tabColor theme="0"/>
  </sheetPr>
  <dimension ref="A1:Y35"/>
  <sheetViews>
    <sheetView topLeftCell="A23" zoomScale="85" zoomScaleNormal="85" workbookViewId="0">
      <selection activeCell="P15" sqref="P15"/>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918</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4) Programmer un objet</v>
      </c>
      <c r="C2" s="886"/>
      <c r="D2" s="886"/>
      <c r="E2" s="886"/>
      <c r="F2" s="886"/>
      <c r="G2" s="886"/>
      <c r="H2" s="886"/>
      <c r="I2" s="886"/>
      <c r="J2" s="886"/>
      <c r="K2" s="886"/>
      <c r="L2" s="886"/>
      <c r="M2" s="887"/>
      <c r="N2" s="407" t="str">
        <f>INDEX(Problématiques_compétences!$B$3:$D$118,MATCH(A1,Problématiques_compétences!$D$3:$D$118,0),1)</f>
        <v xml:space="preserve">Comment utiliser  la technologie RFID ? (ouvrir automatiquement un portail )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2.2</v>
      </c>
      <c r="B4" s="872" t="str">
        <f ca="1">INDEX(Programme!$B$4:$C$46,MATCH(A4,Programme!$B$4:$B$46,0),2)</f>
        <v>► Identifier le(s) matériau(x), les flux d’énergie et d’information dans le cadre d’une production technique sur un objet et décrire les transformations qui s’opèrent.</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MSOST.1.4</v>
      </c>
      <c r="L4" s="873" t="str">
        <f ca="1">IFERROR(INDEX(Programme!$I$7:$J$94,MATCH($K4,Programme!$I$7:$I$94,0),2),"")</f>
        <v>Identifier le(s) matériau(x), les flux d’énergie et d’information sur un objet et décrire les transformations qui s’opèrent.</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Familles de matériaux avec leurs principales caractéristiques. Sources d’énergies. Chaîne d’énergie. Chaîne d’information.</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2.7</v>
      </c>
      <c r="B6" s="872" t="str">
        <f ca="1">IFERROR(INDEX(Programme!$B$4:$C$46,MATCH(A6,Programme!$B$4:$B$46,0),2),"")</f>
        <v>► Imaginer, concevoir et programmer des applications informatiques nomades.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DIC.1.5</v>
      </c>
      <c r="L6" s="873" t="str">
        <f ca="1">IFERROR(INDEX(Programme!$I$7:$J$94,MATCH($K6,Programme!$I$7:$I$94,0),2),"")</f>
        <v>Imaginer des solutions pour produire des objets et des éléments de programmes informatiques en réponse au besoin.</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Design. Innovation et créativité. Veille. Représentation de solutions (croquis, schémas, algorithmes). Réalité augmentée. Objets connectés.</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IP.2.2</v>
      </c>
      <c r="L7" s="879" t="str">
        <f ca="1">IFERROR(INDEX(Programme!$I$7:$J$94,MATCH($K7,Programme!$I$7:$I$94,0),2),"")</f>
        <v>Écrire, mettre au point (tester, corriger) et exécuter un programme commandant un système réel et vérifier le comportement attendu.</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4.2</v>
      </c>
      <c r="B8" s="872" t="str">
        <f ca="1">IFERROR(INDEX(Programme!$B$4:$C$46,MATCH(A8,Programme!$B$4:$B$46,0),2),"")</f>
        <v>► Appliquer les principes élémentaires de l’algorithmique et du codage à la résolution d’un problème simple.</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IP.2.3</v>
      </c>
      <c r="L8" s="873" t="str">
        <f ca="1">IFERROR(INDEX(Programme!$I$7:$J$94,MATCH($K8,Programme!$I$7:$I$94,0),2),"")</f>
        <v>Écrire un programme dans lequel des actions sont déclenchées par des événements extérieurs.</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5.5</v>
      </c>
      <c r="B10" s="872" t="str">
        <f ca="1">IFERROR(INDEX(Programme!$B$4:$C$46,MATCH(A10,Programme!$B$4:$B$46,0),2),"")</f>
        <v>► Modifier ou paramétrer le fonctionnement d’un objet communicant.</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IP.2.3</v>
      </c>
      <c r="L10" s="873" t="str">
        <f ca="1">IFERROR(INDEX(Programme!$I$7:$J$94,MATCH($K10,Programme!$I$7:$I$94,0),2),"")</f>
        <v>Écrire un programme dans lequel des actions sont déclenchées par des événements extérieurs.</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919</v>
      </c>
      <c r="B13" s="852"/>
      <c r="C13" s="852"/>
      <c r="D13" s="852"/>
      <c r="E13" s="852"/>
      <c r="F13" s="852"/>
      <c r="G13" s="852"/>
      <c r="H13" s="852"/>
      <c r="I13" s="852"/>
      <c r="J13" s="852"/>
      <c r="K13" s="852"/>
      <c r="L13" s="852"/>
      <c r="M13" s="853"/>
      <c r="N13" s="857" t="s">
        <v>920</v>
      </c>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921</v>
      </c>
      <c r="B16" s="858"/>
      <c r="C16" s="858"/>
      <c r="D16" s="858"/>
      <c r="E16" s="858"/>
      <c r="F16" s="858"/>
      <c r="G16" s="858"/>
      <c r="H16" s="858"/>
      <c r="I16" s="858"/>
      <c r="J16" s="858"/>
      <c r="K16" s="858"/>
      <c r="L16" s="858"/>
      <c r="M16" s="859"/>
      <c r="N16" s="857" t="s">
        <v>922</v>
      </c>
      <c r="O16" s="858"/>
      <c r="P16" s="858"/>
      <c r="Q16" s="858"/>
      <c r="R16" s="858"/>
      <c r="S16" s="858"/>
      <c r="T16" s="858"/>
      <c r="U16" s="858"/>
      <c r="V16" s="858"/>
      <c r="W16" s="858"/>
      <c r="X16" s="858"/>
      <c r="Y16" s="859"/>
    </row>
    <row r="17" spans="1:25" ht="30"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t="s">
        <v>923</v>
      </c>
      <c r="G18" s="434"/>
      <c r="H18" s="434"/>
      <c r="I18" s="434"/>
      <c r="J18" s="434"/>
      <c r="K18" s="433"/>
      <c r="L18" s="431"/>
      <c r="M18" s="446"/>
      <c r="N18" s="866" t="s">
        <v>382</v>
      </c>
      <c r="O18" s="867"/>
      <c r="P18" s="867"/>
      <c r="Q18" s="867"/>
      <c r="R18" s="870" t="s">
        <v>924</v>
      </c>
      <c r="S18" s="870"/>
      <c r="T18" s="870"/>
      <c r="U18" s="870"/>
      <c r="V18" s="870"/>
      <c r="W18" s="870"/>
      <c r="X18" s="870"/>
      <c r="Y18" s="871"/>
    </row>
    <row r="19" spans="1:25" ht="26.25" customHeight="1" thickBot="1">
      <c r="A19" s="455" t="s">
        <v>465</v>
      </c>
      <c r="B19" s="447"/>
      <c r="C19" s="447"/>
      <c r="D19" s="447"/>
      <c r="E19" s="447"/>
      <c r="F19" s="447"/>
      <c r="G19" s="447"/>
      <c r="H19" s="448"/>
      <c r="I19" s="448"/>
      <c r="J19" s="448"/>
      <c r="K19" s="449"/>
      <c r="L19" s="449"/>
      <c r="M19" s="450"/>
      <c r="N19" s="868"/>
      <c r="O19" s="869"/>
      <c r="P19" s="869"/>
      <c r="Q19" s="869"/>
      <c r="R19" s="864" t="s">
        <v>925</v>
      </c>
      <c r="S19" s="864"/>
      <c r="T19" s="864"/>
      <c r="U19" s="864"/>
      <c r="V19" s="892"/>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926</v>
      </c>
      <c r="D23" s="842"/>
      <c r="E23" s="842"/>
      <c r="F23" s="842"/>
      <c r="G23" s="842"/>
      <c r="H23" s="842"/>
      <c r="I23" s="842"/>
      <c r="J23" s="842"/>
      <c r="K23" s="843"/>
      <c r="L23" s="842" t="s">
        <v>927</v>
      </c>
      <c r="M23" s="842"/>
      <c r="N23" s="842"/>
      <c r="O23" s="842"/>
      <c r="P23" s="842"/>
      <c r="Q23" s="842"/>
      <c r="R23" s="843"/>
      <c r="S23" s="841" t="s">
        <v>928</v>
      </c>
      <c r="T23" s="842"/>
      <c r="U23" s="842"/>
      <c r="V23" s="842"/>
      <c r="W23" s="842"/>
      <c r="X23" s="842"/>
      <c r="Y23" s="843"/>
    </row>
    <row r="24" spans="1:25" ht="136.5" customHeight="1">
      <c r="A24" s="844" t="s">
        <v>79</v>
      </c>
      <c r="B24" s="845"/>
      <c r="C24" s="841" t="s">
        <v>929</v>
      </c>
      <c r="D24" s="842"/>
      <c r="E24" s="842"/>
      <c r="F24" s="842"/>
      <c r="G24" s="842"/>
      <c r="H24" s="842"/>
      <c r="I24" s="842"/>
      <c r="J24" s="842"/>
      <c r="K24" s="843"/>
      <c r="L24" s="841" t="s">
        <v>930</v>
      </c>
      <c r="M24" s="842"/>
      <c r="N24" s="842"/>
      <c r="O24" s="842"/>
      <c r="P24" s="842"/>
      <c r="Q24" s="842"/>
      <c r="R24" s="843"/>
      <c r="S24" s="841" t="s">
        <v>931</v>
      </c>
      <c r="T24" s="842"/>
      <c r="U24" s="842"/>
      <c r="V24" s="842"/>
      <c r="W24" s="842"/>
      <c r="X24" s="842"/>
      <c r="Y24" s="843"/>
    </row>
    <row r="25" spans="1:25" ht="78.75" customHeight="1">
      <c r="A25" s="839" t="s">
        <v>81</v>
      </c>
      <c r="B25" s="840"/>
      <c r="C25" s="841" t="s">
        <v>932</v>
      </c>
      <c r="D25" s="842"/>
      <c r="E25" s="842"/>
      <c r="F25" s="842"/>
      <c r="G25" s="842"/>
      <c r="H25" s="842"/>
      <c r="I25" s="842"/>
      <c r="J25" s="842"/>
      <c r="K25" s="843"/>
      <c r="L25" s="841" t="s">
        <v>933</v>
      </c>
      <c r="M25" s="842"/>
      <c r="N25" s="842"/>
      <c r="O25" s="842"/>
      <c r="P25" s="842"/>
      <c r="Q25" s="842"/>
      <c r="R25" s="843"/>
      <c r="S25" s="841" t="s">
        <v>934</v>
      </c>
      <c r="T25" s="842"/>
      <c r="U25" s="842"/>
      <c r="V25" s="842"/>
      <c r="W25" s="842"/>
      <c r="X25" s="842"/>
      <c r="Y25" s="843"/>
    </row>
    <row r="26" spans="1:25" ht="61.5" customHeight="1">
      <c r="A26" s="839" t="s">
        <v>80</v>
      </c>
      <c r="B26" s="840"/>
      <c r="C26" s="841" t="s">
        <v>935</v>
      </c>
      <c r="D26" s="842"/>
      <c r="E26" s="842"/>
      <c r="F26" s="842"/>
      <c r="G26" s="842"/>
      <c r="H26" s="842"/>
      <c r="I26" s="842"/>
      <c r="J26" s="842"/>
      <c r="K26" s="843"/>
      <c r="L26" s="841" t="s">
        <v>936</v>
      </c>
      <c r="M26" s="842"/>
      <c r="N26" s="842"/>
      <c r="O26" s="842"/>
      <c r="P26" s="842"/>
      <c r="Q26" s="842"/>
      <c r="R26" s="843"/>
      <c r="S26" s="841" t="s">
        <v>937</v>
      </c>
      <c r="T26" s="842"/>
      <c r="U26" s="842"/>
      <c r="V26" s="842"/>
      <c r="W26" s="842"/>
      <c r="X26" s="842"/>
      <c r="Y26" s="843"/>
    </row>
    <row r="27" spans="1:25" ht="45" customHeight="1">
      <c r="A27" s="844" t="s">
        <v>335</v>
      </c>
      <c r="B27" s="845"/>
      <c r="C27" s="841" t="s">
        <v>938</v>
      </c>
      <c r="D27" s="842"/>
      <c r="E27" s="842"/>
      <c r="F27" s="842"/>
      <c r="G27" s="842"/>
      <c r="H27" s="842"/>
      <c r="I27" s="842"/>
      <c r="J27" s="842"/>
      <c r="K27" s="843"/>
      <c r="L27" s="841" t="s">
        <v>939</v>
      </c>
      <c r="M27" s="842"/>
      <c r="N27" s="842"/>
      <c r="O27" s="842"/>
      <c r="P27" s="842"/>
      <c r="Q27" s="842"/>
      <c r="R27" s="843"/>
      <c r="S27" s="841" t="s">
        <v>940</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D37B8-AA8A-4B26-BACA-F524F5C999F5}">
  <sheetPr>
    <tabColor theme="0"/>
  </sheetPr>
  <dimension ref="A1:Y35"/>
  <sheetViews>
    <sheetView topLeftCell="A10" zoomScale="85" zoomScaleNormal="85" workbookViewId="0">
      <selection activeCell="L26" sqref="L26:R26"/>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943</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4) Programmer un objet</v>
      </c>
      <c r="C2" s="886"/>
      <c r="D2" s="886"/>
      <c r="E2" s="886"/>
      <c r="F2" s="886"/>
      <c r="G2" s="886"/>
      <c r="H2" s="886"/>
      <c r="I2" s="886"/>
      <c r="J2" s="886"/>
      <c r="K2" s="886"/>
      <c r="L2" s="886"/>
      <c r="M2" s="887"/>
      <c r="N2" s="407" t="str">
        <f>INDEX(Problématiques_compétences!$B$3:$D$118,MATCH(A1,Problématiques_compétences!$D$3:$D$118,0),1)</f>
        <v xml:space="preserve">Comment piloter par l’intermédiaire d’un Smartphone ou d’une tablette un système technique ?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CS 1.6</v>
      </c>
      <c r="B4" s="872" t="str">
        <f ca="1">INDEX(Programme!$B$4:$C$46,MATCH(A4,Programme!$B$4:$B$46,0),2)</f>
        <v>► Analyser le fonctionnement et la structure d’un objet, identifier les entrées et sorties.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MSOST.1.3</v>
      </c>
      <c r="L4" s="873" t="str">
        <f ca="1">IFERROR(INDEX(Programme!$I$7:$J$94,MATCH($K4,Programme!$I$7:$I$94,0),2),"")</f>
        <v>Analyser le fonctionnement et la structure d’un objet, identifier les entrées et sorties.</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Représentation fonctionnelle des systèmes. Structure des systèmes. Chaîne d’énergie.Chaîne d’information.</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5.4</v>
      </c>
      <c r="B6" s="872" t="str">
        <f ca="1">IFERROR(INDEX(Programme!$B$4:$C$46,MATCH(A6,Programme!$B$4:$B$46,0),2),"")</f>
        <v>► Piloter un système connecté localement ou à distance.</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IP.2.2</v>
      </c>
      <c r="L6" s="873" t="str">
        <f ca="1">IFERROR(INDEX(Programme!$I$7:$J$94,MATCH($K6,Programme!$I$7:$I$94,0),2),"")</f>
        <v>Écrire, mettre au point (tester, corriger) et exécuter un programme commandant un système réel et vérifier le comportement attendu.</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5.5</v>
      </c>
      <c r="B8" s="872" t="str">
        <f ca="1">IFERROR(INDEX(Programme!$B$4:$C$46,MATCH(A8,Programme!$B$4:$B$46,0),2),"")</f>
        <v>► Modifier ou paramétrer le fonctionnement d’un objet communicant.</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IP.2.3</v>
      </c>
      <c r="L8" s="873" t="str">
        <f ca="1">IFERROR(INDEX(Programme!$I$7:$J$94,MATCH($K8,Programme!$I$7:$I$94,0),2),"")</f>
        <v>Écrire un programme dans lequel des actions sont déclenchées par des événements extérieurs.</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872" t="str">
        <f ca="1">IFERROR(INDEX(Programme!$B$4:$C$46,MATCH(A10,Programme!$B$4:$B$46,0),2),"")</f>
        <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
      </c>
      <c r="L10" s="873" t="str">
        <f ca="1">IFERROR(INDEX(Programme!$I$7:$J$94,MATCH($K10,Programme!$I$7:$I$94,0),2),"")</f>
        <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944</v>
      </c>
      <c r="B13" s="852"/>
      <c r="C13" s="852"/>
      <c r="D13" s="852"/>
      <c r="E13" s="852"/>
      <c r="F13" s="852"/>
      <c r="G13" s="852"/>
      <c r="H13" s="852"/>
      <c r="I13" s="852"/>
      <c r="J13" s="852"/>
      <c r="K13" s="852"/>
      <c r="L13" s="852"/>
      <c r="M13" s="853"/>
      <c r="N13" s="857" t="s">
        <v>945</v>
      </c>
      <c r="O13" s="858"/>
      <c r="P13" s="858"/>
      <c r="Q13" s="858"/>
      <c r="R13" s="858"/>
      <c r="S13" s="858"/>
      <c r="T13" s="858"/>
      <c r="U13" s="858"/>
      <c r="V13" s="858"/>
      <c r="W13" s="858"/>
      <c r="X13" s="858"/>
      <c r="Y13" s="859"/>
    </row>
    <row r="14" spans="1:25" ht="40.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946</v>
      </c>
      <c r="B16" s="858"/>
      <c r="C16" s="858"/>
      <c r="D16" s="858"/>
      <c r="E16" s="858"/>
      <c r="F16" s="858"/>
      <c r="G16" s="858"/>
      <c r="H16" s="858"/>
      <c r="I16" s="858"/>
      <c r="J16" s="858"/>
      <c r="K16" s="858"/>
      <c r="L16" s="858"/>
      <c r="M16" s="859"/>
      <c r="N16" s="857" t="s">
        <v>947</v>
      </c>
      <c r="O16" s="858"/>
      <c r="P16" s="858"/>
      <c r="Q16" s="858"/>
      <c r="R16" s="858"/>
      <c r="S16" s="858"/>
      <c r="T16" s="858"/>
      <c r="U16" s="858"/>
      <c r="V16" s="858"/>
      <c r="W16" s="858"/>
      <c r="X16" s="858"/>
      <c r="Y16" s="859"/>
    </row>
    <row r="17" spans="1:25" ht="48"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888" t="s">
        <v>761</v>
      </c>
      <c r="G18" s="888"/>
      <c r="H18" s="888"/>
      <c r="I18" s="888"/>
      <c r="J18" s="888"/>
      <c r="K18" s="888"/>
      <c r="L18" s="888"/>
      <c r="M18" s="889"/>
      <c r="N18" s="866" t="s">
        <v>382</v>
      </c>
      <c r="O18" s="867"/>
      <c r="P18" s="867"/>
      <c r="Q18" s="867"/>
      <c r="R18" s="888" t="s">
        <v>948</v>
      </c>
      <c r="S18" s="888"/>
      <c r="T18" s="888"/>
      <c r="U18" s="888"/>
      <c r="V18" s="888"/>
      <c r="W18" s="888"/>
      <c r="X18" s="888"/>
      <c r="Y18" s="889"/>
    </row>
    <row r="19" spans="1:25" ht="33.75" customHeight="1" thickBot="1">
      <c r="A19" s="455" t="s">
        <v>465</v>
      </c>
      <c r="B19" s="447"/>
      <c r="C19" s="993" t="s">
        <v>949</v>
      </c>
      <c r="D19" s="993"/>
      <c r="E19" s="993"/>
      <c r="F19" s="993"/>
      <c r="G19" s="993"/>
      <c r="H19" s="993"/>
      <c r="I19" s="448"/>
      <c r="J19" s="448"/>
      <c r="K19" s="890" t="s">
        <v>950</v>
      </c>
      <c r="L19" s="890"/>
      <c r="M19" s="891"/>
      <c r="N19" s="868"/>
      <c r="O19" s="869"/>
      <c r="P19" s="869"/>
      <c r="Q19" s="869"/>
      <c r="R19" s="890"/>
      <c r="S19" s="890"/>
      <c r="T19" s="890"/>
      <c r="U19" s="890"/>
      <c r="V19" s="890"/>
      <c r="W19" s="890"/>
      <c r="X19" s="890"/>
      <c r="Y19" s="891"/>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44.25" customHeight="1">
      <c r="A23" s="839" t="s">
        <v>78</v>
      </c>
      <c r="B23" s="850"/>
      <c r="C23" s="841" t="s">
        <v>951</v>
      </c>
      <c r="D23" s="842"/>
      <c r="E23" s="842"/>
      <c r="F23" s="842"/>
      <c r="G23" s="842"/>
      <c r="H23" s="842"/>
      <c r="I23" s="842"/>
      <c r="J23" s="842"/>
      <c r="K23" s="843"/>
      <c r="L23" s="842" t="s">
        <v>952</v>
      </c>
      <c r="M23" s="842"/>
      <c r="N23" s="842"/>
      <c r="O23" s="842"/>
      <c r="P23" s="842"/>
      <c r="Q23" s="842"/>
      <c r="R23" s="843"/>
      <c r="S23" s="841" t="s">
        <v>953</v>
      </c>
      <c r="T23" s="842"/>
      <c r="U23" s="842"/>
      <c r="V23" s="842"/>
      <c r="W23" s="842"/>
      <c r="X23" s="842"/>
      <c r="Y23" s="843"/>
    </row>
    <row r="24" spans="1:25" ht="159" customHeight="1">
      <c r="A24" s="844" t="s">
        <v>79</v>
      </c>
      <c r="B24" s="845"/>
      <c r="C24" s="841" t="s">
        <v>954</v>
      </c>
      <c r="D24" s="842"/>
      <c r="E24" s="842"/>
      <c r="F24" s="842"/>
      <c r="G24" s="842"/>
      <c r="H24" s="842"/>
      <c r="I24" s="842"/>
      <c r="J24" s="842"/>
      <c r="K24" s="843"/>
      <c r="L24" s="841" t="s">
        <v>955</v>
      </c>
      <c r="M24" s="842"/>
      <c r="N24" s="842"/>
      <c r="O24" s="842"/>
      <c r="P24" s="842"/>
      <c r="Q24" s="842"/>
      <c r="R24" s="843"/>
      <c r="S24" s="841" t="s">
        <v>956</v>
      </c>
      <c r="T24" s="842"/>
      <c r="U24" s="842"/>
      <c r="V24" s="842"/>
      <c r="W24" s="842"/>
      <c r="X24" s="842"/>
      <c r="Y24" s="843"/>
    </row>
    <row r="25" spans="1:25" ht="45" customHeight="1">
      <c r="A25" s="839" t="s">
        <v>81</v>
      </c>
      <c r="B25" s="840"/>
      <c r="C25" s="841" t="s">
        <v>957</v>
      </c>
      <c r="D25" s="842"/>
      <c r="E25" s="842"/>
      <c r="F25" s="842"/>
      <c r="G25" s="842"/>
      <c r="H25" s="842"/>
      <c r="I25" s="842"/>
      <c r="J25" s="842"/>
      <c r="K25" s="843"/>
      <c r="L25" s="841" t="s">
        <v>958</v>
      </c>
      <c r="M25" s="842"/>
      <c r="N25" s="842"/>
      <c r="O25" s="842"/>
      <c r="P25" s="842"/>
      <c r="Q25" s="842"/>
      <c r="R25" s="843"/>
      <c r="S25" s="841" t="s">
        <v>959</v>
      </c>
      <c r="T25" s="842"/>
      <c r="U25" s="842"/>
      <c r="V25" s="842"/>
      <c r="W25" s="842"/>
      <c r="X25" s="842"/>
      <c r="Y25" s="843"/>
    </row>
    <row r="26" spans="1:25" ht="58.5" customHeight="1">
      <c r="A26" s="839" t="s">
        <v>80</v>
      </c>
      <c r="B26" s="840"/>
      <c r="C26" s="841" t="s">
        <v>960</v>
      </c>
      <c r="D26" s="842"/>
      <c r="E26" s="842"/>
      <c r="F26" s="842"/>
      <c r="G26" s="842"/>
      <c r="H26" s="842"/>
      <c r="I26" s="842"/>
      <c r="J26" s="842"/>
      <c r="K26" s="843"/>
      <c r="L26" s="841" t="s">
        <v>961</v>
      </c>
      <c r="M26" s="842"/>
      <c r="N26" s="842"/>
      <c r="O26" s="842"/>
      <c r="P26" s="842"/>
      <c r="Q26" s="842"/>
      <c r="R26" s="843"/>
      <c r="S26" s="841" t="s">
        <v>962</v>
      </c>
      <c r="T26" s="842"/>
      <c r="U26" s="842"/>
      <c r="V26" s="842"/>
      <c r="W26" s="842"/>
      <c r="X26" s="842"/>
      <c r="Y26" s="843"/>
    </row>
    <row r="27" spans="1:25" ht="64.5" customHeight="1">
      <c r="A27" s="844" t="s">
        <v>335</v>
      </c>
      <c r="B27" s="845"/>
      <c r="C27" s="841" t="s">
        <v>963</v>
      </c>
      <c r="D27" s="842"/>
      <c r="E27" s="842"/>
      <c r="F27" s="842"/>
      <c r="G27" s="842"/>
      <c r="H27" s="842"/>
      <c r="I27" s="842"/>
      <c r="J27" s="842"/>
      <c r="K27" s="843"/>
      <c r="L27" s="841" t="s">
        <v>964</v>
      </c>
      <c r="M27" s="842"/>
      <c r="N27" s="842"/>
      <c r="O27" s="842"/>
      <c r="P27" s="842"/>
      <c r="Q27" s="842"/>
      <c r="R27" s="843"/>
      <c r="S27" s="841" t="s">
        <v>965</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A21:Y21"/>
    <mergeCell ref="C22:K22"/>
    <mergeCell ref="L22:R22"/>
    <mergeCell ref="S22:Y22"/>
    <mergeCell ref="A23:B23"/>
    <mergeCell ref="C23:K23"/>
    <mergeCell ref="L23:R23"/>
    <mergeCell ref="S23:Y23"/>
    <mergeCell ref="A27:B27"/>
    <mergeCell ref="C27:K27"/>
    <mergeCell ref="L27:R27"/>
    <mergeCell ref="S27:Y27"/>
    <mergeCell ref="A24:B24"/>
    <mergeCell ref="C24:K24"/>
    <mergeCell ref="L24:R24"/>
    <mergeCell ref="S24:Y24"/>
    <mergeCell ref="A25:B25"/>
    <mergeCell ref="C25:K25"/>
    <mergeCell ref="L25:R25"/>
    <mergeCell ref="S25:Y25"/>
    <mergeCell ref="A26:B26"/>
    <mergeCell ref="C26:K26"/>
    <mergeCell ref="L26:R26"/>
    <mergeCell ref="S26:Y26"/>
    <mergeCell ref="A13:M14"/>
    <mergeCell ref="N13:Y14"/>
    <mergeCell ref="A16:M17"/>
    <mergeCell ref="N16:Y17"/>
    <mergeCell ref="N18:Q19"/>
    <mergeCell ref="F18:M18"/>
    <mergeCell ref="R18:Y19"/>
    <mergeCell ref="C19:H19"/>
    <mergeCell ref="K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AA35"/>
  <sheetViews>
    <sheetView zoomScale="85" zoomScaleNormal="85" workbookViewId="0">
      <selection activeCell="N16" sqref="N16:Y17"/>
    </sheetView>
  </sheetViews>
  <sheetFormatPr baseColWidth="10" defaultRowHeight="15"/>
  <cols>
    <col min="1" max="1" width="7.28515625" customWidth="1"/>
    <col min="2" max="10" width="6.5703125" customWidth="1"/>
    <col min="11" max="11" width="9.140625" customWidth="1"/>
    <col min="12" max="17" width="8.28515625" customWidth="1"/>
    <col min="18" max="25" width="8.5703125" customWidth="1"/>
    <col min="26" max="31" width="4.7109375" customWidth="1"/>
  </cols>
  <sheetData>
    <row r="1" spans="1:27" ht="18" customHeight="1">
      <c r="A1" s="883" t="s">
        <v>966</v>
      </c>
      <c r="B1" s="284" t="s">
        <v>42</v>
      </c>
      <c r="C1" s="285"/>
      <c r="D1" s="285"/>
      <c r="E1" s="285"/>
      <c r="F1" s="285"/>
      <c r="G1" s="285"/>
      <c r="H1" s="285"/>
      <c r="I1" s="285"/>
      <c r="J1" s="285"/>
      <c r="K1" s="285"/>
      <c r="L1" s="285"/>
      <c r="M1" s="286"/>
      <c r="N1" s="292" t="s">
        <v>375</v>
      </c>
      <c r="O1" s="287"/>
      <c r="P1" s="287"/>
      <c r="Q1" s="287"/>
      <c r="R1" s="287"/>
      <c r="S1" s="287"/>
      <c r="T1" s="287"/>
      <c r="U1" s="287"/>
      <c r="V1" s="287"/>
      <c r="W1" s="287"/>
      <c r="X1" s="287"/>
      <c r="Y1" s="288"/>
      <c r="AA1" s="247"/>
    </row>
    <row r="2" spans="1:27" s="266" customFormat="1" ht="20.25" customHeight="1" thickBot="1">
      <c r="A2" s="884"/>
      <c r="B2" s="1009" t="s">
        <v>1068</v>
      </c>
      <c r="C2" s="1010"/>
      <c r="D2" s="1010"/>
      <c r="E2" s="1010"/>
      <c r="F2" s="1010"/>
      <c r="G2" s="1010"/>
      <c r="H2" s="1010"/>
      <c r="I2" s="1010"/>
      <c r="J2" s="1010"/>
      <c r="K2" s="1010"/>
      <c r="L2" s="1010"/>
      <c r="M2" s="1011"/>
      <c r="N2" s="289" t="str">
        <f>INDEX(Problématiques_compétences!$B$3:$D$118,MATCH(A1,Problématiques_compétences!$D$3:$D$118,0),1)</f>
        <v>Appropriation du CDC et Recherches de solutions</v>
      </c>
      <c r="O2" s="290"/>
      <c r="P2" s="290"/>
      <c r="Q2" s="290"/>
      <c r="R2" s="290"/>
      <c r="S2" s="290"/>
      <c r="T2" s="290"/>
      <c r="U2" s="290"/>
      <c r="V2" s="290"/>
      <c r="W2" s="290"/>
      <c r="X2" s="290"/>
      <c r="Y2" s="291"/>
    </row>
    <row r="3" spans="1:27" ht="15.75" customHeight="1">
      <c r="A3" s="284" t="s">
        <v>55</v>
      </c>
      <c r="B3" s="293"/>
      <c r="C3" s="293"/>
      <c r="D3" s="293"/>
      <c r="E3" s="294"/>
      <c r="F3" s="293"/>
      <c r="G3" s="293"/>
      <c r="H3" s="294"/>
      <c r="I3" s="293"/>
      <c r="J3" s="293"/>
      <c r="K3" s="295" t="s">
        <v>71</v>
      </c>
      <c r="L3" s="296"/>
      <c r="M3" s="296"/>
      <c r="N3" s="296"/>
      <c r="O3" s="293"/>
      <c r="P3" s="293"/>
      <c r="Q3" s="293"/>
      <c r="R3" s="297" t="s">
        <v>344</v>
      </c>
      <c r="S3" s="293"/>
      <c r="T3" s="293"/>
      <c r="U3" s="293"/>
      <c r="V3" s="293"/>
      <c r="W3" s="293"/>
      <c r="X3" s="293"/>
      <c r="Y3" s="298"/>
    </row>
    <row r="4" spans="1:27" ht="32.25" customHeight="1">
      <c r="A4" s="304"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2.2</v>
      </c>
      <c r="B4" s="872" t="str">
        <f ca="1">INDEX(Programme!$B$4:$C$46,MATCH(A4,Programme!$B$4:$B$46,0),2)</f>
        <v>► Identifier le(s) matériau(x), les flux d’énergie et d’information dans le cadre d’une production technique sur un objet et décrire les transformations qui s’opèrent.</v>
      </c>
      <c r="C4" s="872"/>
      <c r="D4" s="872"/>
      <c r="E4" s="872"/>
      <c r="F4" s="872"/>
      <c r="G4" s="872"/>
      <c r="H4" s="872"/>
      <c r="I4" s="872"/>
      <c r="J4" s="872"/>
      <c r="K4" s="299" t="str">
        <f t="array" aca="1" ref="K4" ca="1">INDEX(Programme!$B$3:$G$46,MATCH($A$4,Programme!$B$3:$B$46,0),SMALL(IF(INDIRECT("Programme!D"&amp;MATCH($A$4,Programme!$B$1:$B$46,0)):INDIRECT("Programme!G"&amp;MATCH($A$4,Programme!$B$1:$B$46,0))&lt;&gt;"",COLUMN(Programme!$D$3:$G$3)-1),ROW()-3))</f>
        <v>MSOST.1.4</v>
      </c>
      <c r="L4" s="873" t="str">
        <f ca="1">IFERROR(INDEX(Programme!$I$7:$J$94,MATCH($K4,Programme!$I$7:$I$94,0),2),"")</f>
        <v>Identifier le(s) matériau(x), les flux d’énergie et d’information sur un objet et décrire les transformations qui s’opèrent.</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Familles de matériaux avec leurs principales caractéristiques. Sources d’énergies. Chaîne d’énergie. Chaîne d’information.</v>
      </c>
      <c r="S4" s="873"/>
      <c r="T4" s="873"/>
      <c r="U4" s="873"/>
      <c r="V4" s="873"/>
      <c r="W4" s="873"/>
      <c r="X4" s="873"/>
      <c r="Y4" s="877"/>
    </row>
    <row r="5" spans="1:27" s="247" customFormat="1" ht="32.25" customHeight="1">
      <c r="A5" s="300"/>
      <c r="B5" s="301"/>
      <c r="C5" s="301"/>
      <c r="D5" s="301"/>
      <c r="E5" s="302"/>
      <c r="F5" s="302"/>
      <c r="G5" s="302"/>
      <c r="H5" s="302"/>
      <c r="I5" s="302"/>
      <c r="J5" s="302"/>
      <c r="K5" s="303"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7" s="247" customFormat="1" ht="32.25" customHeight="1">
      <c r="A6" s="304"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2.3</v>
      </c>
      <c r="B6" s="872" t="str">
        <f ca="1">IFERROR(INDEX(Programme!$B$4:$C$46,MATCH(A6,Programme!$B$4:$B$46,0),2),"")</f>
        <v>► S’approprier un cahier des charges.</v>
      </c>
      <c r="C6" s="872"/>
      <c r="D6" s="872"/>
      <c r="E6" s="872"/>
      <c r="F6" s="872"/>
      <c r="G6" s="872"/>
      <c r="H6" s="872"/>
      <c r="I6" s="872"/>
      <c r="J6" s="872"/>
      <c r="K6" s="299" t="str">
        <f t="array" aca="1" ref="K6" ca="1">IFERROR(INDEX(Programme!$B$3:$G$46,MATCH($A$6,Programme!$B$3:$B$46,0),SMALL(IF(INDIRECT("Programme!D"&amp;MATCH($A$6,Programme!$B$1:$B$46,0)):INDIRECT("Programme!G"&amp;MATCH($A$6,Programme!$B$1:$B$46,0))&lt;&gt;"",COLUMN(Programme!$D$3:$G$3)-1),ROW()-5)),"")</f>
        <v>DIC.1.2</v>
      </c>
      <c r="L6" s="873" t="str">
        <f ca="1">IFERROR(INDEX(Programme!$I$7:$J$94,MATCH($K6,Programme!$I$7:$I$94,0),2),"")</f>
        <v>Identifier les conditions, contraintes (normes et règlements) et ressources correspondantes, qualifier et quantifier simplement les performances d’un objet technique existant ou à créer.</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xml:space="preserve">Principaux éléments d’un cahier des charges. </v>
      </c>
      <c r="S6" s="873"/>
      <c r="T6" s="873"/>
      <c r="U6" s="873"/>
      <c r="V6" s="873"/>
      <c r="W6" s="873"/>
      <c r="X6" s="873"/>
      <c r="Y6" s="877"/>
    </row>
    <row r="7" spans="1:27" ht="32.25" customHeight="1">
      <c r="A7" s="305"/>
      <c r="B7" s="307"/>
      <c r="C7" s="307"/>
      <c r="D7" s="307"/>
      <c r="E7" s="307"/>
      <c r="F7" s="307"/>
      <c r="G7" s="307"/>
      <c r="H7" s="307"/>
      <c r="I7" s="307"/>
      <c r="J7" s="307"/>
      <c r="K7" s="303"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7" ht="32.25" customHeight="1">
      <c r="A8" s="304"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
      </c>
      <c r="B8" s="872" t="str">
        <f ca="1">IFERROR(INDEX(Programme!$B$4:$C$46,MATCH(A8,Programme!$B$4:$B$46,0),2),"")</f>
        <v/>
      </c>
      <c r="C8" s="872"/>
      <c r="D8" s="872"/>
      <c r="E8" s="872"/>
      <c r="F8" s="872"/>
      <c r="G8" s="872"/>
      <c r="H8" s="872"/>
      <c r="I8" s="872"/>
      <c r="J8" s="872"/>
      <c r="K8" s="299" t="str">
        <f t="array" aca="1" ref="K8" ca="1">IFERROR(INDEX(Programme!$B$3:$G$46,MATCH($A$8,Programme!$B$3:$B$46,0),SMALL(IF(INDIRECT("Programme!D"&amp;MATCH($A$8,Programme!$B$1:$B$46,0)):INDIRECT("Programme!G"&amp;MATCH($A$8,Programme!$B$1:$B$46,0))&lt;&gt;"",COLUMN(Programme!$D$3:$G$3)-1),ROW()-7)),"")</f>
        <v/>
      </c>
      <c r="L8" s="873" t="str">
        <f ca="1">IFERROR(INDEX(Programme!$I$7:$J$94,MATCH($K8,Programme!$I$7:$I$94,0),2),"")</f>
        <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73"/>
      <c r="T8" s="873"/>
      <c r="U8" s="873"/>
      <c r="V8" s="873"/>
      <c r="W8" s="873"/>
      <c r="X8" s="873"/>
      <c r="Y8" s="877"/>
    </row>
    <row r="9" spans="1:27" s="266" customFormat="1" ht="32.25" customHeight="1">
      <c r="A9" s="306"/>
      <c r="B9" s="308"/>
      <c r="C9" s="308"/>
      <c r="D9" s="308"/>
      <c r="E9" s="308"/>
      <c r="F9" s="308"/>
      <c r="G9" s="308"/>
      <c r="H9" s="308"/>
      <c r="I9" s="308"/>
      <c r="J9" s="308"/>
      <c r="K9" s="303"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7" ht="32.25" customHeight="1">
      <c r="A10" s="304"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872" t="str">
        <f ca="1">IFERROR(INDEX(Programme!$B$4:$C$46,MATCH(A10,Programme!$B$4:$B$46,0),2),"")</f>
        <v/>
      </c>
      <c r="C10" s="872"/>
      <c r="D10" s="872"/>
      <c r="E10" s="872"/>
      <c r="F10" s="872"/>
      <c r="G10" s="872"/>
      <c r="H10" s="872"/>
      <c r="I10" s="872"/>
      <c r="J10" s="872"/>
      <c r="K10" s="299" t="str">
        <f t="array" aca="1" ref="K10" ca="1">IFERROR(INDEX(Programme!$B$3:$G$46,MATCH($A$10,Programme!$B$3:$B$46,0),SMALL(IF(INDIRECT("Programme!D"&amp;MATCH($A$10,Programme!$B$1:$B$46,0)):INDIRECT("Programme!G"&amp;MATCH($A$10,Programme!$B$1:$B$46,0))&lt;&gt;"",COLUMN(Programme!$D$3:$G$3)-1),ROW()-9)),"")</f>
        <v/>
      </c>
      <c r="L10" s="873" t="str">
        <f ca="1">IFERROR(INDEX(Programme!$I$7:$J$94,MATCH($K10,Programme!$I$7:$I$94,0),2),"")</f>
        <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7" ht="32.25" customHeight="1" thickBot="1">
      <c r="A11" s="304"/>
      <c r="B11" s="872"/>
      <c r="C11" s="872"/>
      <c r="D11" s="872"/>
      <c r="E11" s="872"/>
      <c r="F11" s="872"/>
      <c r="G11" s="872"/>
      <c r="H11" s="872"/>
      <c r="I11" s="872"/>
      <c r="J11" s="872"/>
      <c r="K11" s="299"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7" s="247" customFormat="1"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7" s="247" customFormat="1" ht="30.75" customHeight="1">
      <c r="A13" s="851" t="s">
        <v>972</v>
      </c>
      <c r="B13" s="852"/>
      <c r="C13" s="852"/>
      <c r="D13" s="852"/>
      <c r="E13" s="852"/>
      <c r="F13" s="852"/>
      <c r="G13" s="852"/>
      <c r="H13" s="852"/>
      <c r="I13" s="852"/>
      <c r="J13" s="852"/>
      <c r="K13" s="852"/>
      <c r="L13" s="852"/>
      <c r="M13" s="853"/>
      <c r="N13" s="857" t="s">
        <v>973</v>
      </c>
      <c r="O13" s="858"/>
      <c r="P13" s="858"/>
      <c r="Q13" s="858"/>
      <c r="R13" s="858"/>
      <c r="S13" s="858"/>
      <c r="T13" s="858"/>
      <c r="U13" s="858"/>
      <c r="V13" s="858"/>
      <c r="W13" s="858"/>
      <c r="X13" s="858"/>
      <c r="Y13" s="859"/>
    </row>
    <row r="14" spans="1:27" s="247" customFormat="1"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7" s="247" customFormat="1"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7" s="247" customFormat="1" ht="30" customHeight="1">
      <c r="A16" s="857" t="s">
        <v>974</v>
      </c>
      <c r="B16" s="858"/>
      <c r="C16" s="858"/>
      <c r="D16" s="858"/>
      <c r="E16" s="858"/>
      <c r="F16" s="858"/>
      <c r="G16" s="858"/>
      <c r="H16" s="858"/>
      <c r="I16" s="858"/>
      <c r="J16" s="858"/>
      <c r="K16" s="858"/>
      <c r="L16" s="858"/>
      <c r="M16" s="859"/>
      <c r="N16" s="857" t="s">
        <v>975</v>
      </c>
      <c r="O16" s="858"/>
      <c r="P16" s="858"/>
      <c r="Q16" s="858"/>
      <c r="R16" s="858"/>
      <c r="S16" s="858"/>
      <c r="T16" s="858"/>
      <c r="U16" s="858"/>
      <c r="V16" s="858"/>
      <c r="W16" s="858"/>
      <c r="X16" s="858"/>
      <c r="Y16" s="859"/>
    </row>
    <row r="17" spans="1:25" s="247" customFormat="1" ht="30"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t="s">
        <v>976</v>
      </c>
      <c r="G18" s="434"/>
      <c r="H18" s="434"/>
      <c r="I18" s="434"/>
      <c r="J18" s="434"/>
      <c r="K18" s="433"/>
      <c r="L18" s="431"/>
      <c r="M18" s="446"/>
      <c r="N18" s="866" t="s">
        <v>382</v>
      </c>
      <c r="O18" s="867"/>
      <c r="P18" s="867"/>
      <c r="Q18" s="867"/>
      <c r="R18" s="870" t="s">
        <v>977</v>
      </c>
      <c r="S18" s="870"/>
      <c r="T18" s="870"/>
      <c r="U18" s="870"/>
      <c r="V18" s="870"/>
      <c r="W18" s="870"/>
      <c r="X18" s="870"/>
      <c r="Y18" s="871"/>
    </row>
    <row r="19" spans="1:25" ht="15.75" thickBot="1">
      <c r="A19" s="455" t="s">
        <v>465</v>
      </c>
      <c r="B19" s="447"/>
      <c r="C19" s="864" t="s">
        <v>978</v>
      </c>
      <c r="D19" s="864"/>
      <c r="E19" s="864"/>
      <c r="F19" s="864"/>
      <c r="G19" s="864"/>
      <c r="H19" s="864"/>
      <c r="I19" s="864"/>
      <c r="J19" s="864"/>
      <c r="K19" s="864"/>
      <c r="L19" s="864"/>
      <c r="M19" s="865"/>
      <c r="N19" s="868"/>
      <c r="O19" s="869"/>
      <c r="P19" s="869"/>
      <c r="Q19" s="869"/>
      <c r="R19" s="864"/>
      <c r="S19" s="864"/>
      <c r="T19" s="864"/>
      <c r="U19" s="864"/>
      <c r="V19" s="864"/>
      <c r="W19" s="864"/>
      <c r="X19" s="864"/>
      <c r="Y19" s="865"/>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979</v>
      </c>
      <c r="D23" s="842"/>
      <c r="E23" s="842"/>
      <c r="F23" s="842"/>
      <c r="G23" s="842"/>
      <c r="H23" s="842"/>
      <c r="I23" s="842"/>
      <c r="J23" s="842"/>
      <c r="K23" s="843"/>
      <c r="L23" s="842" t="s">
        <v>980</v>
      </c>
      <c r="M23" s="842"/>
      <c r="N23" s="842"/>
      <c r="O23" s="842"/>
      <c r="P23" s="842"/>
      <c r="Q23" s="842"/>
      <c r="R23" s="843"/>
      <c r="S23" s="841" t="s">
        <v>981</v>
      </c>
      <c r="T23" s="842"/>
      <c r="U23" s="842"/>
      <c r="V23" s="842"/>
      <c r="W23" s="842"/>
      <c r="X23" s="842"/>
      <c r="Y23" s="843"/>
    </row>
    <row r="24" spans="1:25" ht="45" customHeight="1">
      <c r="A24" s="844" t="s">
        <v>79</v>
      </c>
      <c r="B24" s="845"/>
      <c r="C24" s="841" t="s">
        <v>982</v>
      </c>
      <c r="D24" s="842"/>
      <c r="E24" s="842"/>
      <c r="F24" s="842"/>
      <c r="G24" s="842"/>
      <c r="H24" s="842"/>
      <c r="I24" s="842"/>
      <c r="J24" s="842"/>
      <c r="K24" s="843"/>
      <c r="L24" s="841" t="s">
        <v>983</v>
      </c>
      <c r="M24" s="842"/>
      <c r="N24" s="842"/>
      <c r="O24" s="842"/>
      <c r="P24" s="842"/>
      <c r="Q24" s="842"/>
      <c r="R24" s="843"/>
      <c r="S24" s="841" t="s">
        <v>984</v>
      </c>
      <c r="T24" s="842"/>
      <c r="U24" s="842"/>
      <c r="V24" s="842"/>
      <c r="W24" s="842"/>
      <c r="X24" s="842"/>
      <c r="Y24" s="843"/>
    </row>
    <row r="25" spans="1:25" ht="45" customHeight="1">
      <c r="A25" s="839" t="s">
        <v>81</v>
      </c>
      <c r="B25" s="840"/>
      <c r="C25" s="841" t="s">
        <v>985</v>
      </c>
      <c r="D25" s="842"/>
      <c r="E25" s="842"/>
      <c r="F25" s="842"/>
      <c r="G25" s="842"/>
      <c r="H25" s="842"/>
      <c r="I25" s="842"/>
      <c r="J25" s="842"/>
      <c r="K25" s="843"/>
      <c r="L25" s="841" t="s">
        <v>732</v>
      </c>
      <c r="M25" s="842"/>
      <c r="N25" s="842"/>
      <c r="O25" s="842"/>
      <c r="P25" s="842"/>
      <c r="Q25" s="842"/>
      <c r="R25" s="843"/>
      <c r="S25" s="841" t="s">
        <v>986</v>
      </c>
      <c r="T25" s="842"/>
      <c r="U25" s="842"/>
      <c r="V25" s="842"/>
      <c r="W25" s="842"/>
      <c r="X25" s="842"/>
      <c r="Y25" s="843"/>
    </row>
    <row r="26" spans="1:25" ht="45" customHeight="1">
      <c r="A26" s="839" t="s">
        <v>80</v>
      </c>
      <c r="B26" s="840"/>
      <c r="C26" s="841" t="s">
        <v>987</v>
      </c>
      <c r="D26" s="842"/>
      <c r="E26" s="842"/>
      <c r="F26" s="842"/>
      <c r="G26" s="842"/>
      <c r="H26" s="842"/>
      <c r="I26" s="842"/>
      <c r="J26" s="842"/>
      <c r="K26" s="843"/>
      <c r="L26" s="841" t="s">
        <v>988</v>
      </c>
      <c r="M26" s="842"/>
      <c r="N26" s="842"/>
      <c r="O26" s="842"/>
      <c r="P26" s="842"/>
      <c r="Q26" s="842"/>
      <c r="R26" s="843"/>
      <c r="S26" s="841" t="s">
        <v>989</v>
      </c>
      <c r="T26" s="842"/>
      <c r="U26" s="842"/>
      <c r="V26" s="842"/>
      <c r="W26" s="842"/>
      <c r="X26" s="842"/>
      <c r="Y26" s="843"/>
    </row>
    <row r="27" spans="1:25" ht="45" customHeight="1">
      <c r="A27" s="844" t="s">
        <v>335</v>
      </c>
      <c r="B27" s="845"/>
      <c r="C27" s="841" t="s">
        <v>990</v>
      </c>
      <c r="D27" s="842"/>
      <c r="E27" s="842"/>
      <c r="F27" s="842"/>
      <c r="G27" s="842"/>
      <c r="H27" s="842"/>
      <c r="I27" s="842"/>
      <c r="J27" s="842"/>
      <c r="K27" s="843"/>
      <c r="L27" s="841" t="s">
        <v>991</v>
      </c>
      <c r="M27" s="842"/>
      <c r="N27" s="842"/>
      <c r="O27" s="842"/>
      <c r="P27" s="842"/>
      <c r="Q27" s="842"/>
      <c r="R27" s="843"/>
      <c r="S27" s="841" t="s">
        <v>992</v>
      </c>
      <c r="T27" s="842"/>
      <c r="U27" s="842"/>
      <c r="V27" s="842"/>
      <c r="W27" s="842"/>
      <c r="X27" s="842"/>
      <c r="Y27" s="843"/>
    </row>
    <row r="30" spans="1:25">
      <c r="D30" s="4"/>
    </row>
    <row r="32" spans="1:25">
      <c r="I32" s="12"/>
      <c r="J32" s="12"/>
      <c r="K32" s="12"/>
    </row>
    <row r="33" spans="9:11" ht="15.75">
      <c r="I33" s="13"/>
      <c r="J33" s="14"/>
      <c r="K33" s="5"/>
    </row>
    <row r="34" spans="9:11">
      <c r="I34" s="12"/>
      <c r="J34" s="5"/>
    </row>
    <row r="35" spans="9:11">
      <c r="I35" s="12"/>
    </row>
  </sheetData>
  <mergeCells count="54">
    <mergeCell ref="A23:B23"/>
    <mergeCell ref="C24:K24"/>
    <mergeCell ref="A16:M17"/>
    <mergeCell ref="B8:J8"/>
    <mergeCell ref="B10:J10"/>
    <mergeCell ref="B11:J11"/>
    <mergeCell ref="A13:M14"/>
    <mergeCell ref="A21:Y21"/>
    <mergeCell ref="N13:Y14"/>
    <mergeCell ref="R9:Y9"/>
    <mergeCell ref="R10:Y10"/>
    <mergeCell ref="R11:Y11"/>
    <mergeCell ref="N16:Y17"/>
    <mergeCell ref="N18:Q19"/>
    <mergeCell ref="S23:Y23"/>
    <mergeCell ref="C23:K23"/>
    <mergeCell ref="L23:R23"/>
    <mergeCell ref="R18:Y19"/>
    <mergeCell ref="C19:M19"/>
    <mergeCell ref="L24:R24"/>
    <mergeCell ref="L22:R22"/>
    <mergeCell ref="C22:K22"/>
    <mergeCell ref="S22:Y22"/>
    <mergeCell ref="S24:Y24"/>
    <mergeCell ref="R4:Y4"/>
    <mergeCell ref="R5:Y5"/>
    <mergeCell ref="R6:Y6"/>
    <mergeCell ref="R7:Y7"/>
    <mergeCell ref="R8:Y8"/>
    <mergeCell ref="A24:B24"/>
    <mergeCell ref="A25:B25"/>
    <mergeCell ref="A26:B26"/>
    <mergeCell ref="A27:B27"/>
    <mergeCell ref="A1:A2"/>
    <mergeCell ref="B2:M2"/>
    <mergeCell ref="L4:Q4"/>
    <mergeCell ref="L5:Q5"/>
    <mergeCell ref="L6:Q6"/>
    <mergeCell ref="B4:J4"/>
    <mergeCell ref="B6:J6"/>
    <mergeCell ref="L7:Q7"/>
    <mergeCell ref="L8:Q8"/>
    <mergeCell ref="L9:Q9"/>
    <mergeCell ref="L10:Q10"/>
    <mergeCell ref="L11:Q11"/>
    <mergeCell ref="L27:R27"/>
    <mergeCell ref="S25:Y25"/>
    <mergeCell ref="S26:Y26"/>
    <mergeCell ref="S27:Y27"/>
    <mergeCell ref="C25:K25"/>
    <mergeCell ref="C27:K27"/>
    <mergeCell ref="C26:K26"/>
    <mergeCell ref="L25:R25"/>
    <mergeCell ref="L26:R26"/>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D2865-0842-4E94-97DD-84298F54C690}">
  <sheetPr>
    <tabColor theme="0"/>
  </sheetPr>
  <dimension ref="A1:Y35"/>
  <sheetViews>
    <sheetView zoomScale="85" zoomScaleNormal="85" workbookViewId="0">
      <selection activeCell="B2" sqref="B2:M2"/>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967</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1009" t="s">
        <v>1068</v>
      </c>
      <c r="C2" s="1010"/>
      <c r="D2" s="1010"/>
      <c r="E2" s="1010"/>
      <c r="F2" s="1010"/>
      <c r="G2" s="1010"/>
      <c r="H2" s="1010"/>
      <c r="I2" s="1010"/>
      <c r="J2" s="1010"/>
      <c r="K2" s="1010"/>
      <c r="L2" s="1010"/>
      <c r="M2" s="1011"/>
      <c r="N2" s="407" t="str">
        <f>INDEX(Problématiques_compétences!$B$3:$D$118,MATCH(A1,Problématiques_compétences!$D$3:$D$118,0),1)</f>
        <v>Réalisation, test et validation - Présentation finale, synthèse</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3.3</v>
      </c>
      <c r="B4" s="872" t="str">
        <f ca="1">INDEX(Programme!$B$4:$C$46,MATCH(A4,Programme!$B$4:$B$46,0),2)</f>
        <v>► Présenter à l’oral et à l’aide de supports numériques multimédia des solutions techniques au moment des revues de projet.</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DIC.1.7</v>
      </c>
      <c r="L4" s="873" t="str">
        <f ca="1">IFERROR(INDEX(Programme!$I$7:$J$94,MATCH($K4,Programme!$I$7:$I$94,0),2),"")</f>
        <v>Présenter à l’oral et à l’aide de supports numériques multimédia des solutions techniques au moment des revues de projet.</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Outils numériques de présentation.</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CS 5.7</v>
      </c>
      <c r="B6" s="872" t="str">
        <f ca="1">IFERROR(INDEX(Programme!$B$4:$C$46,MATCH(A6,Programme!$B$4:$B$46,0),2),"")</f>
        <v>► Analyser le comportement attendu d’un système réel et décomposer le problème posé en sous-problèmes afin de structurer un programme de commande.</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IP.2.1</v>
      </c>
      <c r="L6" s="873" t="str">
        <f ca="1">IFERROR(INDEX(Programme!$I$7:$J$94,MATCH($K6,Programme!$I$7:$I$94,0),2),"")</f>
        <v>Analyser le comportement attendu d’un système réel et décomposer le problème posé en sous-problèmes afin de structurer un programme de commande.</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
      </c>
      <c r="B8" s="872" t="str">
        <f ca="1">IFERROR(INDEX(Programme!$B$4:$C$46,MATCH(A8,Programme!$B$4:$B$46,0),2),"")</f>
        <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
      </c>
      <c r="L8" s="873" t="str">
        <f ca="1">IFERROR(INDEX(Programme!$I$7:$J$94,MATCH($K8,Programme!$I$7:$I$94,0),2),"")</f>
        <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872" t="str">
        <f ca="1">IFERROR(INDEX(Programme!$B$4:$C$46,MATCH(A10,Programme!$B$4:$B$46,0),2),"")</f>
        <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
      </c>
      <c r="L10" s="873" t="str">
        <f ca="1">IFERROR(INDEX(Programme!$I$7:$J$94,MATCH($K10,Programme!$I$7:$I$94,0),2),"")</f>
        <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993</v>
      </c>
      <c r="B13" s="852"/>
      <c r="C13" s="852"/>
      <c r="D13" s="852"/>
      <c r="E13" s="852"/>
      <c r="F13" s="852"/>
      <c r="G13" s="852"/>
      <c r="H13" s="852"/>
      <c r="I13" s="852"/>
      <c r="J13" s="852"/>
      <c r="K13" s="852"/>
      <c r="L13" s="852"/>
      <c r="M13" s="853"/>
      <c r="N13" s="857"/>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994</v>
      </c>
      <c r="B16" s="858"/>
      <c r="C16" s="858"/>
      <c r="D16" s="858"/>
      <c r="E16" s="858"/>
      <c r="F16" s="858"/>
      <c r="G16" s="858"/>
      <c r="H16" s="858"/>
      <c r="I16" s="858"/>
      <c r="J16" s="858"/>
      <c r="K16" s="858"/>
      <c r="L16" s="858"/>
      <c r="M16" s="859"/>
      <c r="N16" s="857" t="s">
        <v>995</v>
      </c>
      <c r="O16" s="858"/>
      <c r="P16" s="858"/>
      <c r="Q16" s="858"/>
      <c r="R16" s="858"/>
      <c r="S16" s="858"/>
      <c r="T16" s="858"/>
      <c r="U16" s="858"/>
      <c r="V16" s="858"/>
      <c r="W16" s="858"/>
      <c r="X16" s="858"/>
      <c r="Y16" s="859"/>
    </row>
    <row r="17" spans="1:25" ht="30"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t="s">
        <v>976</v>
      </c>
      <c r="G18" s="434"/>
      <c r="H18" s="434"/>
      <c r="I18" s="434"/>
      <c r="J18" s="434"/>
      <c r="K18" s="433"/>
      <c r="L18" s="431"/>
      <c r="M18" s="446"/>
      <c r="N18" s="866" t="s">
        <v>382</v>
      </c>
      <c r="O18" s="867"/>
      <c r="P18" s="867"/>
      <c r="Q18" s="867"/>
      <c r="R18" s="870"/>
      <c r="S18" s="870"/>
      <c r="T18" s="870"/>
      <c r="U18" s="870"/>
      <c r="V18" s="870"/>
      <c r="W18" s="870"/>
      <c r="X18" s="870"/>
      <c r="Y18" s="871"/>
    </row>
    <row r="19" spans="1:25" ht="15.75" thickBot="1">
      <c r="A19" s="455" t="s">
        <v>465</v>
      </c>
      <c r="B19" s="447"/>
      <c r="C19" s="447"/>
      <c r="D19" s="447"/>
      <c r="E19" s="447"/>
      <c r="F19" s="447"/>
      <c r="G19" s="447"/>
      <c r="H19" s="448"/>
      <c r="I19" s="448"/>
      <c r="J19" s="448"/>
      <c r="K19" s="449"/>
      <c r="L19" s="449"/>
      <c r="M19" s="450"/>
      <c r="N19" s="868"/>
      <c r="O19" s="869"/>
      <c r="P19" s="869"/>
      <c r="Q19" s="869"/>
      <c r="R19" s="864"/>
      <c r="S19" s="864"/>
      <c r="T19" s="864"/>
      <c r="U19" s="864"/>
      <c r="V19" s="892"/>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996</v>
      </c>
      <c r="D23" s="842"/>
      <c r="E23" s="842"/>
      <c r="F23" s="842"/>
      <c r="G23" s="842"/>
      <c r="H23" s="842"/>
      <c r="I23" s="842"/>
      <c r="J23" s="842"/>
      <c r="K23" s="843"/>
      <c r="L23" s="842" t="s">
        <v>996</v>
      </c>
      <c r="M23" s="842"/>
      <c r="N23" s="842"/>
      <c r="O23" s="842"/>
      <c r="P23" s="842"/>
      <c r="Q23" s="842"/>
      <c r="R23" s="843"/>
      <c r="S23" s="841" t="s">
        <v>997</v>
      </c>
      <c r="T23" s="842"/>
      <c r="U23" s="842"/>
      <c r="V23" s="842"/>
      <c r="W23" s="842"/>
      <c r="X23" s="842"/>
      <c r="Y23" s="843"/>
    </row>
    <row r="24" spans="1:25" ht="69" customHeight="1">
      <c r="A24" s="844" t="s">
        <v>79</v>
      </c>
      <c r="B24" s="845"/>
      <c r="C24" s="841" t="s">
        <v>998</v>
      </c>
      <c r="D24" s="842"/>
      <c r="E24" s="842"/>
      <c r="F24" s="842"/>
      <c r="G24" s="842"/>
      <c r="H24" s="842"/>
      <c r="I24" s="842"/>
      <c r="J24" s="842"/>
      <c r="K24" s="843"/>
      <c r="L24" s="841" t="s">
        <v>999</v>
      </c>
      <c r="M24" s="842"/>
      <c r="N24" s="842"/>
      <c r="O24" s="842"/>
      <c r="P24" s="842"/>
      <c r="Q24" s="842"/>
      <c r="R24" s="843"/>
      <c r="S24" s="841" t="s">
        <v>1000</v>
      </c>
      <c r="T24" s="842"/>
      <c r="U24" s="842"/>
      <c r="V24" s="842"/>
      <c r="W24" s="842"/>
      <c r="X24" s="842"/>
      <c r="Y24" s="843"/>
    </row>
    <row r="25" spans="1:25" ht="45" customHeight="1">
      <c r="A25" s="839" t="s">
        <v>81</v>
      </c>
      <c r="B25" s="840"/>
      <c r="C25" s="841" t="s">
        <v>1001</v>
      </c>
      <c r="D25" s="842"/>
      <c r="E25" s="842"/>
      <c r="F25" s="842"/>
      <c r="G25" s="842"/>
      <c r="H25" s="842"/>
      <c r="I25" s="842"/>
      <c r="J25" s="842"/>
      <c r="K25" s="843"/>
      <c r="L25" s="841" t="s">
        <v>1001</v>
      </c>
      <c r="M25" s="842"/>
      <c r="N25" s="842"/>
      <c r="O25" s="842"/>
      <c r="P25" s="842"/>
      <c r="Q25" s="842"/>
      <c r="R25" s="843"/>
      <c r="S25" s="841" t="s">
        <v>865</v>
      </c>
      <c r="T25" s="842"/>
      <c r="U25" s="842"/>
      <c r="V25" s="842"/>
      <c r="W25" s="842"/>
      <c r="X25" s="842"/>
      <c r="Y25" s="843"/>
    </row>
    <row r="26" spans="1:25" ht="45" customHeight="1">
      <c r="A26" s="839" t="s">
        <v>80</v>
      </c>
      <c r="B26" s="840"/>
      <c r="C26" s="841" t="s">
        <v>1002</v>
      </c>
      <c r="D26" s="842"/>
      <c r="E26" s="842"/>
      <c r="F26" s="842"/>
      <c r="G26" s="842"/>
      <c r="H26" s="842"/>
      <c r="I26" s="842"/>
      <c r="J26" s="842"/>
      <c r="K26" s="843"/>
      <c r="L26" s="841" t="s">
        <v>1002</v>
      </c>
      <c r="M26" s="842"/>
      <c r="N26" s="842"/>
      <c r="O26" s="842"/>
      <c r="P26" s="842"/>
      <c r="Q26" s="842"/>
      <c r="R26" s="843"/>
      <c r="S26" s="841"/>
      <c r="T26" s="842"/>
      <c r="U26" s="842"/>
      <c r="V26" s="842"/>
      <c r="W26" s="842"/>
      <c r="X26" s="842"/>
      <c r="Y26" s="843"/>
    </row>
    <row r="27" spans="1:25" ht="45" customHeight="1">
      <c r="A27" s="844" t="s">
        <v>335</v>
      </c>
      <c r="B27" s="845"/>
      <c r="C27" s="841" t="s">
        <v>1003</v>
      </c>
      <c r="D27" s="842"/>
      <c r="E27" s="842"/>
      <c r="F27" s="842"/>
      <c r="G27" s="842"/>
      <c r="H27" s="842"/>
      <c r="I27" s="842"/>
      <c r="J27" s="842"/>
      <c r="K27" s="843"/>
      <c r="L27" s="841" t="s">
        <v>1004</v>
      </c>
      <c r="M27" s="842"/>
      <c r="N27" s="842"/>
      <c r="O27" s="842"/>
      <c r="P27" s="842"/>
      <c r="Q27" s="842"/>
      <c r="R27" s="843"/>
      <c r="S27" s="841" t="s">
        <v>1005</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7:B27"/>
    <mergeCell ref="C27:K27"/>
    <mergeCell ref="L27:R27"/>
    <mergeCell ref="S27:Y27"/>
    <mergeCell ref="A24:B24"/>
    <mergeCell ref="C24:K24"/>
    <mergeCell ref="L24:R24"/>
    <mergeCell ref="S24:Y24"/>
    <mergeCell ref="A25:B25"/>
    <mergeCell ref="C25:K25"/>
    <mergeCell ref="L25:R25"/>
    <mergeCell ref="S25:Y25"/>
    <mergeCell ref="A26:B26"/>
    <mergeCell ref="C26:K26"/>
    <mergeCell ref="L26:R26"/>
    <mergeCell ref="S26:Y26"/>
    <mergeCell ref="A21:Y21"/>
    <mergeCell ref="C22:K22"/>
    <mergeCell ref="L22:R22"/>
    <mergeCell ref="S22:Y22"/>
    <mergeCell ref="A23:B23"/>
    <mergeCell ref="C23:K23"/>
    <mergeCell ref="L23:R23"/>
    <mergeCell ref="S23:Y23"/>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28338-C653-4B2D-A211-8B4836C5AC9C}">
  <sheetPr>
    <tabColor theme="0"/>
  </sheetPr>
  <dimension ref="A1:Y35"/>
  <sheetViews>
    <sheetView zoomScale="70" zoomScaleNormal="70" workbookViewId="0">
      <selection activeCell="B2" sqref="B2:M2"/>
    </sheetView>
  </sheetViews>
  <sheetFormatPr baseColWidth="10" defaultRowHeight="15"/>
  <cols>
    <col min="1" max="1" width="7.28515625" style="393" customWidth="1"/>
    <col min="2" max="2" width="9.85546875" style="393" customWidth="1"/>
    <col min="3"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968</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1012" t="s">
        <v>1068</v>
      </c>
      <c r="C2" s="1013"/>
      <c r="D2" s="1013"/>
      <c r="E2" s="1013"/>
      <c r="F2" s="1013"/>
      <c r="G2" s="1013"/>
      <c r="H2" s="1013"/>
      <c r="I2" s="1013"/>
      <c r="J2" s="1013"/>
      <c r="K2" s="1013"/>
      <c r="L2" s="1013"/>
      <c r="M2" s="1014"/>
      <c r="N2" s="407" t="str">
        <f>INDEX(Problématiques_compétences!$B$3:$D$118,MATCH(A1,Problématiques_compétences!$D$3:$D$118,0),1)</f>
        <v>Les robots...Avancée technologique ? .. Espoir ? ..  Inquiétude ? Quels impacts sur la société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CS 1.7</v>
      </c>
      <c r="B4" s="872" t="str">
        <f ca="1">INDEX(Programme!$B$4:$C$46,MATCH(A4,Programme!$B$4:$B$46,0),2)</f>
        <v>► Interpréter des résultats expérimentaux, en tirer une conclusion et la communiquer en argumentant.</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MSOST.1.7</v>
      </c>
      <c r="L4" s="873" t="str">
        <f ca="1">IFERROR(INDEX(Programme!$I$7:$J$94,MATCH($K4,Programme!$I$7:$I$94,0),2),"")</f>
        <v>Interpréter des résultats expérimentaux, en tirer une conclusion et la communiquer en argumentant.</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Notions d’écarts entre les attentes fixées par le cahier des charges et les résultats de l’expérimentation.</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3.1</v>
      </c>
      <c r="B6" s="872" t="str">
        <f ca="1">IFERROR(INDEX(Programme!$B$4:$C$46,MATCH(A6,Programme!$B$4:$B$46,0),2),"")</f>
        <v>► Exprimer sa pensée à l’aide d’outils de description adaptés : croquis, schémas, graphes, diagrammes, tableaux (représentations non normées).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OTSCIS.2.1</v>
      </c>
      <c r="L6" s="873" t="str">
        <f ca="1">IFERROR(INDEX(Programme!$I$7:$J$94,MATCH($K6,Programme!$I$7:$I$94,0),2),"")</f>
        <v xml:space="preserve">Exprimer sa pensée à l’aide d’outils de description adaptés : croquis, schémas, graphes, diagrammes, tableaux. </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Croquis à main levée. Différents schémas. Carte heuristique. Notion d’algorithme.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4.1</v>
      </c>
      <c r="B8" s="872" t="str">
        <f ca="1">IFERROR(INDEX(Programme!$B$4:$C$46,MATCH(A8,Programme!$B$4:$B$46,0),2),"")</f>
        <v>► Décrire, en utilisant les outils et langages de descriptions adaptés, la structure et le comportement des objets.</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OTSCIS.1.4</v>
      </c>
      <c r="L8" s="873" t="str">
        <f ca="1">IFERROR(INDEX(Programme!$I$7:$J$94,MATCH($K8,Programme!$I$7:$I$94,0),2),"")</f>
        <v>Élaborer un document qui synthétise ces comparaisons et ces commentaires.</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Outils numériques de présentation. Charte graphique.</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MSOST.1.5</v>
      </c>
      <c r="L9" s="879" t="str">
        <f ca="1">IFERROR(INDEX(Programme!$I$7:$J$94,MATCH($K9,Programme!$I$7:$I$94,0),2),"")</f>
        <v>Décrire, en utilisant les outils et langages de descriptions adaptés, le fonctionnement, la structure et le comportement des objets.</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Outils de description d’un fonctionnement, d’une structure et d’un comportement.</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7.2</v>
      </c>
      <c r="B10" s="872" t="str">
        <f ca="1">IFERROR(INDEX(Programme!$B$4:$C$46,MATCH(A10,Programme!$B$4:$B$46,0),2),"")</f>
        <v xml:space="preserve">► Relier les évolutions technologiques aux inventions et innovations qui marquent des ruptures dans les solutions techniques. </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OTSCIS.1.2</v>
      </c>
      <c r="L10" s="873" t="str">
        <f ca="1">IFERROR(INDEX(Programme!$I$7:$J$94,MATCH($K10,Programme!$I$7:$I$94,0),2),"")</f>
        <v xml:space="preserve">Relier les évolutions technologiques aux inventions et innovations qui marquent des ruptures dans les solutions techniques. </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1006</v>
      </c>
      <c r="B13" s="852"/>
      <c r="C13" s="852"/>
      <c r="D13" s="852"/>
      <c r="E13" s="852"/>
      <c r="F13" s="852"/>
      <c r="G13" s="852"/>
      <c r="H13" s="852"/>
      <c r="I13" s="852"/>
      <c r="J13" s="852"/>
      <c r="K13" s="852"/>
      <c r="L13" s="852"/>
      <c r="M13" s="853"/>
      <c r="N13" s="857" t="s">
        <v>1007</v>
      </c>
      <c r="O13" s="858"/>
      <c r="P13" s="858"/>
      <c r="Q13" s="858"/>
      <c r="R13" s="858"/>
      <c r="S13" s="858"/>
      <c r="T13" s="858"/>
      <c r="U13" s="858"/>
      <c r="V13" s="858"/>
      <c r="W13" s="858"/>
      <c r="X13" s="858"/>
      <c r="Y13" s="859"/>
    </row>
    <row r="14" spans="1:25" ht="58.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1008</v>
      </c>
      <c r="B16" s="858"/>
      <c r="C16" s="858"/>
      <c r="D16" s="858"/>
      <c r="E16" s="858"/>
      <c r="F16" s="858"/>
      <c r="G16" s="858"/>
      <c r="H16" s="858"/>
      <c r="I16" s="858"/>
      <c r="J16" s="858"/>
      <c r="K16" s="858"/>
      <c r="L16" s="858"/>
      <c r="M16" s="859"/>
      <c r="N16" s="857" t="s">
        <v>1009</v>
      </c>
      <c r="O16" s="858"/>
      <c r="P16" s="858"/>
      <c r="Q16" s="858"/>
      <c r="R16" s="858"/>
      <c r="S16" s="858"/>
      <c r="T16" s="858"/>
      <c r="U16" s="858"/>
      <c r="V16" s="858"/>
      <c r="W16" s="858"/>
      <c r="X16" s="858"/>
      <c r="Y16" s="859"/>
    </row>
    <row r="17" spans="1:25" ht="72"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c r="G18" s="434"/>
      <c r="H18" s="434" t="s">
        <v>976</v>
      </c>
      <c r="I18" s="434"/>
      <c r="J18" s="434"/>
      <c r="K18" s="433"/>
      <c r="L18" s="431"/>
      <c r="M18" s="446"/>
      <c r="N18" s="866" t="s">
        <v>382</v>
      </c>
      <c r="O18" s="867"/>
      <c r="P18" s="867"/>
      <c r="Q18" s="867"/>
      <c r="R18" s="870"/>
      <c r="S18" s="870"/>
      <c r="T18" s="870"/>
      <c r="U18" s="870"/>
      <c r="V18" s="870"/>
      <c r="W18" s="870"/>
      <c r="X18" s="870"/>
      <c r="Y18" s="871"/>
    </row>
    <row r="19" spans="1:25" ht="48.75" customHeight="1" thickBot="1">
      <c r="A19" s="455" t="s">
        <v>465</v>
      </c>
      <c r="B19" s="447"/>
      <c r="C19" s="447"/>
      <c r="D19" s="447"/>
      <c r="E19" s="447"/>
      <c r="F19" s="447"/>
      <c r="G19" s="447"/>
      <c r="H19" s="448"/>
      <c r="I19" s="448"/>
      <c r="J19" s="448"/>
      <c r="K19" s="449"/>
      <c r="L19" s="449"/>
      <c r="M19" s="450"/>
      <c r="N19" s="868"/>
      <c r="O19" s="869"/>
      <c r="P19" s="869"/>
      <c r="Q19" s="869"/>
      <c r="R19" s="864"/>
      <c r="S19" s="864"/>
      <c r="T19" s="864"/>
      <c r="U19" s="864"/>
      <c r="V19" s="892"/>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56.25" customHeight="1">
      <c r="A23" s="839" t="s">
        <v>78</v>
      </c>
      <c r="B23" s="850"/>
      <c r="C23" s="841" t="s">
        <v>1010</v>
      </c>
      <c r="D23" s="842"/>
      <c r="E23" s="842"/>
      <c r="F23" s="842"/>
      <c r="G23" s="842"/>
      <c r="H23" s="842"/>
      <c r="I23" s="842"/>
      <c r="J23" s="842"/>
      <c r="K23" s="843"/>
      <c r="L23" s="842" t="s">
        <v>1011</v>
      </c>
      <c r="M23" s="842"/>
      <c r="N23" s="842"/>
      <c r="O23" s="842"/>
      <c r="P23" s="842"/>
      <c r="Q23" s="842"/>
      <c r="R23" s="843"/>
      <c r="S23" s="841" t="s">
        <v>1012</v>
      </c>
      <c r="T23" s="842"/>
      <c r="U23" s="842"/>
      <c r="V23" s="842"/>
      <c r="W23" s="842"/>
      <c r="X23" s="842"/>
      <c r="Y23" s="843"/>
    </row>
    <row r="24" spans="1:25" ht="79.5" customHeight="1">
      <c r="A24" s="844" t="s">
        <v>79</v>
      </c>
      <c r="B24" s="845"/>
      <c r="C24" s="841" t="s">
        <v>1013</v>
      </c>
      <c r="D24" s="842"/>
      <c r="E24" s="842"/>
      <c r="F24" s="842"/>
      <c r="G24" s="842"/>
      <c r="H24" s="842"/>
      <c r="I24" s="842"/>
      <c r="J24" s="842"/>
      <c r="K24" s="843"/>
      <c r="L24" s="841" t="s">
        <v>1014</v>
      </c>
      <c r="M24" s="842"/>
      <c r="N24" s="842"/>
      <c r="O24" s="842"/>
      <c r="P24" s="842"/>
      <c r="Q24" s="842"/>
      <c r="R24" s="843"/>
      <c r="S24" s="841" t="s">
        <v>1015</v>
      </c>
      <c r="T24" s="842"/>
      <c r="U24" s="842"/>
      <c r="V24" s="842"/>
      <c r="W24" s="842"/>
      <c r="X24" s="842"/>
      <c r="Y24" s="843"/>
    </row>
    <row r="25" spans="1:25" ht="68.25" customHeight="1">
      <c r="A25" s="839" t="s">
        <v>81</v>
      </c>
      <c r="B25" s="840"/>
      <c r="C25" s="841" t="s">
        <v>1016</v>
      </c>
      <c r="D25" s="842"/>
      <c r="E25" s="842"/>
      <c r="F25" s="842"/>
      <c r="G25" s="842"/>
      <c r="H25" s="842"/>
      <c r="I25" s="842"/>
      <c r="J25" s="842"/>
      <c r="K25" s="843"/>
      <c r="L25" s="841"/>
      <c r="M25" s="842"/>
      <c r="N25" s="842"/>
      <c r="O25" s="842"/>
      <c r="P25" s="842"/>
      <c r="Q25" s="842"/>
      <c r="R25" s="843"/>
      <c r="S25" s="841"/>
      <c r="T25" s="842"/>
      <c r="U25" s="842"/>
      <c r="V25" s="842"/>
      <c r="W25" s="842"/>
      <c r="X25" s="842"/>
      <c r="Y25" s="843"/>
    </row>
    <row r="26" spans="1:25" ht="104.25" customHeight="1">
      <c r="A26" s="839" t="s">
        <v>80</v>
      </c>
      <c r="B26" s="840"/>
      <c r="C26" s="841" t="s">
        <v>1017</v>
      </c>
      <c r="D26" s="842"/>
      <c r="E26" s="842"/>
      <c r="F26" s="842"/>
      <c r="G26" s="842"/>
      <c r="H26" s="842"/>
      <c r="I26" s="842"/>
      <c r="J26" s="842"/>
      <c r="K26" s="843"/>
      <c r="L26" s="841" t="s">
        <v>1018</v>
      </c>
      <c r="M26" s="842"/>
      <c r="N26" s="842"/>
      <c r="O26" s="842"/>
      <c r="P26" s="842"/>
      <c r="Q26" s="842"/>
      <c r="R26" s="843"/>
      <c r="S26" s="841" t="s">
        <v>1019</v>
      </c>
      <c r="T26" s="842"/>
      <c r="U26" s="842"/>
      <c r="V26" s="842"/>
      <c r="W26" s="842"/>
      <c r="X26" s="842"/>
      <c r="Y26" s="843"/>
    </row>
    <row r="27" spans="1:25" ht="45" customHeight="1">
      <c r="A27" s="844" t="s">
        <v>335</v>
      </c>
      <c r="B27" s="845"/>
      <c r="C27" s="841" t="s">
        <v>1020</v>
      </c>
      <c r="D27" s="842"/>
      <c r="E27" s="842"/>
      <c r="F27" s="842"/>
      <c r="G27" s="842"/>
      <c r="H27" s="842"/>
      <c r="I27" s="842"/>
      <c r="J27" s="842"/>
      <c r="K27" s="843"/>
      <c r="L27" s="841" t="s">
        <v>1021</v>
      </c>
      <c r="M27" s="842"/>
      <c r="N27" s="842"/>
      <c r="O27" s="842"/>
      <c r="P27" s="842"/>
      <c r="Q27" s="842"/>
      <c r="R27" s="843"/>
      <c r="S27" s="841" t="s">
        <v>1022</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7:B27"/>
    <mergeCell ref="C27:K27"/>
    <mergeCell ref="L27:R27"/>
    <mergeCell ref="S27:Y27"/>
    <mergeCell ref="A24:B24"/>
    <mergeCell ref="C24:K24"/>
    <mergeCell ref="L24:R24"/>
    <mergeCell ref="S24:Y24"/>
    <mergeCell ref="A25:B25"/>
    <mergeCell ref="C25:K25"/>
    <mergeCell ref="L25:R25"/>
    <mergeCell ref="S25:Y25"/>
    <mergeCell ref="A26:B26"/>
    <mergeCell ref="C26:K26"/>
    <mergeCell ref="L26:R26"/>
    <mergeCell ref="S26:Y26"/>
    <mergeCell ref="A21:Y21"/>
    <mergeCell ref="C22:K22"/>
    <mergeCell ref="L22:R22"/>
    <mergeCell ref="S22:Y22"/>
    <mergeCell ref="A23:B23"/>
    <mergeCell ref="C23:K23"/>
    <mergeCell ref="L23:R23"/>
    <mergeCell ref="S23:Y23"/>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E0699-631C-441C-93C0-E09F94A84DCC}">
  <sheetPr>
    <tabColor theme="0"/>
  </sheetPr>
  <dimension ref="A1:Y35"/>
  <sheetViews>
    <sheetView topLeftCell="A10" zoomScale="70" zoomScaleNormal="70" workbookViewId="0">
      <selection activeCell="S24" sqref="S24:Y24"/>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1024</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4) Programmer un objet</v>
      </c>
      <c r="C2" s="886"/>
      <c r="D2" s="886"/>
      <c r="E2" s="886"/>
      <c r="F2" s="886"/>
      <c r="G2" s="886"/>
      <c r="H2" s="886"/>
      <c r="I2" s="886"/>
      <c r="J2" s="886"/>
      <c r="K2" s="886"/>
      <c r="L2" s="886"/>
      <c r="M2" s="887"/>
      <c r="N2" s="407" t="str">
        <f>INDEX(Problématiques_compétences!$B$3:$D$118,MATCH(A1,Problématiques_compétences!$D$3:$D$118,0),1)</f>
        <v xml:space="preserve">Comment automatiser des tâches sur son smartphone?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4.1</v>
      </c>
      <c r="B4" s="872" t="str">
        <f ca="1">INDEX(Programme!$B$4:$C$46,MATCH(A4,Programme!$B$4:$B$46,0),2)</f>
        <v>► Décrire, en utilisant les outils et langages de descriptions adaptés, la structure et le comportement des objets.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OTSCIS.1.4</v>
      </c>
      <c r="L4" s="873" t="str">
        <f ca="1">IFERROR(INDEX(Programme!$I$7:$J$94,MATCH($K4,Programme!$I$7:$I$94,0),2),"")</f>
        <v>Élaborer un document qui synthétise ces comparaisons et ces commentaires.</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Outils numériques de présentation. Charte graphique.</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MSOST.1.5</v>
      </c>
      <c r="L5" s="879" t="str">
        <f ca="1">IFERROR(INDEX(Programme!$I$7:$J$94,MATCH($K5,Programme!$I$7:$I$94,0),2),"")</f>
        <v>Décrire, en utilisant les outils et langages de descriptions adaptés, le fonctionnement, la structure et le comportement des objets.</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Outils de description d’un fonctionnement, d’une structure et d’un comportement.</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5.5</v>
      </c>
      <c r="B6" s="872" t="str">
        <f ca="1">IFERROR(INDEX(Programme!$B$4:$C$46,MATCH(A6,Programme!$B$4:$B$46,0),2),"")</f>
        <v>► Modifier ou paramétrer le fonctionnement d’un objet communicant.</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IP.2.3</v>
      </c>
      <c r="L6" s="873" t="str">
        <f ca="1">IFERROR(INDEX(Programme!$I$7:$J$94,MATCH($K6,Programme!$I$7:$I$94,0),2),"")</f>
        <v>Écrire un programme dans lequel des actions sont déclenchées par des événements extérieurs.</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6.1</v>
      </c>
      <c r="B8" s="872" t="str">
        <f ca="1">IFERROR(INDEX(Programme!$B$4:$C$46,MATCH(A8,Programme!$B$4:$B$46,0),2),"")</f>
        <v>► Développer les bonnes pratiques de l’usage des objets communicants.</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OTSCIS.1.3</v>
      </c>
      <c r="L8" s="873" t="str">
        <f ca="1">IFERROR(INDEX(Programme!$I$7:$J$94,MATCH($K8,Programme!$I$7:$I$94,0),2),"")</f>
        <v>Comparer et commenter les évolutions des objets en articulant différents points de vue : fonctionnel, structurel, environnemental, technique, scientifique, social, historique, économique.</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7.1</v>
      </c>
      <c r="B10" s="872" t="str">
        <f ca="1">IFERROR(INDEX(Programme!$B$4:$C$46,MATCH(A10,Programme!$B$4:$B$46,0),2),"")</f>
        <v>► Regrouper des objets en familles et lignées.</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OTSCIS.1.1</v>
      </c>
      <c r="L10" s="873" t="str">
        <f ca="1">IFERROR(INDEX(Programme!$I$7:$J$94,MATCH($K10,Programme!$I$7:$I$94,0),2),"")</f>
        <v>Regrouper des objets en familles et lignées.</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L’évolution des objets. Impacts sociétaux et environnementaux dus aux objets. Cycle de vie. Les règles d’un usage raisonné des objets communicants respectant la propriété intellectuelle et l’intégrité d’autrui.</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1026</v>
      </c>
      <c r="B13" s="852"/>
      <c r="C13" s="852"/>
      <c r="D13" s="852"/>
      <c r="E13" s="852"/>
      <c r="F13" s="852"/>
      <c r="G13" s="852"/>
      <c r="H13" s="852"/>
      <c r="I13" s="852"/>
      <c r="J13" s="852"/>
      <c r="K13" s="852"/>
      <c r="L13" s="852"/>
      <c r="M13" s="853"/>
      <c r="N13" s="857" t="s">
        <v>1027</v>
      </c>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1028</v>
      </c>
      <c r="B16" s="858"/>
      <c r="C16" s="858"/>
      <c r="D16" s="858"/>
      <c r="E16" s="858"/>
      <c r="F16" s="858"/>
      <c r="G16" s="858"/>
      <c r="H16" s="858"/>
      <c r="I16" s="858"/>
      <c r="J16" s="858"/>
      <c r="K16" s="858"/>
      <c r="L16" s="858"/>
      <c r="M16" s="859"/>
      <c r="N16" s="857" t="s">
        <v>1029</v>
      </c>
      <c r="O16" s="858"/>
      <c r="P16" s="858"/>
      <c r="Q16" s="858"/>
      <c r="R16" s="858"/>
      <c r="S16" s="858"/>
      <c r="T16" s="858"/>
      <c r="U16" s="858"/>
      <c r="V16" s="858"/>
      <c r="W16" s="858"/>
      <c r="X16" s="858"/>
      <c r="Y16" s="859"/>
    </row>
    <row r="17" spans="1:25" ht="30" customHeight="1"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c r="G18" s="434"/>
      <c r="H18" s="434"/>
      <c r="I18" s="434"/>
      <c r="J18" s="434"/>
      <c r="K18" s="433"/>
      <c r="L18" s="431"/>
      <c r="M18" s="446"/>
      <c r="N18" s="866" t="s">
        <v>382</v>
      </c>
      <c r="O18" s="867"/>
      <c r="P18" s="867"/>
      <c r="Q18" s="867"/>
      <c r="R18" s="870" t="s">
        <v>1030</v>
      </c>
      <c r="S18" s="870"/>
      <c r="T18" s="870"/>
      <c r="U18" s="870"/>
      <c r="V18" s="870"/>
      <c r="W18" s="870"/>
      <c r="X18" s="870"/>
      <c r="Y18" s="871"/>
    </row>
    <row r="19" spans="1:25" ht="37.5" customHeight="1" thickBot="1">
      <c r="A19" s="455" t="s">
        <v>465</v>
      </c>
      <c r="B19" s="447"/>
      <c r="C19" s="447"/>
      <c r="D19" s="447"/>
      <c r="E19" s="447"/>
      <c r="F19" s="447"/>
      <c r="G19" s="447"/>
      <c r="H19" s="448"/>
      <c r="I19" s="448"/>
      <c r="J19" s="448"/>
      <c r="K19" s="449"/>
      <c r="L19" s="449"/>
      <c r="M19" s="450"/>
      <c r="N19" s="868"/>
      <c r="O19" s="869"/>
      <c r="P19" s="869"/>
      <c r="Q19" s="869"/>
      <c r="R19" s="864"/>
      <c r="S19" s="864"/>
      <c r="T19" s="864"/>
      <c r="U19" s="864"/>
      <c r="V19" s="892"/>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1031</v>
      </c>
      <c r="D23" s="842"/>
      <c r="E23" s="842"/>
      <c r="F23" s="842"/>
      <c r="G23" s="842"/>
      <c r="H23" s="842"/>
      <c r="I23" s="842"/>
      <c r="J23" s="842"/>
      <c r="K23" s="843"/>
      <c r="L23" s="842" t="s">
        <v>1032</v>
      </c>
      <c r="M23" s="842"/>
      <c r="N23" s="842"/>
      <c r="O23" s="842"/>
      <c r="P23" s="842"/>
      <c r="Q23" s="842"/>
      <c r="R23" s="843"/>
      <c r="S23" s="841" t="s">
        <v>1033</v>
      </c>
      <c r="T23" s="842"/>
      <c r="U23" s="842"/>
      <c r="V23" s="842"/>
      <c r="W23" s="842"/>
      <c r="X23" s="842"/>
      <c r="Y23" s="843"/>
    </row>
    <row r="24" spans="1:25" ht="45" customHeight="1">
      <c r="A24" s="844" t="s">
        <v>79</v>
      </c>
      <c r="B24" s="845"/>
      <c r="C24" s="841" t="s">
        <v>1034</v>
      </c>
      <c r="D24" s="842"/>
      <c r="E24" s="842"/>
      <c r="F24" s="842"/>
      <c r="G24" s="842"/>
      <c r="H24" s="842"/>
      <c r="I24" s="842"/>
      <c r="J24" s="842"/>
      <c r="K24" s="843"/>
      <c r="L24" s="841" t="s">
        <v>1035</v>
      </c>
      <c r="M24" s="842"/>
      <c r="N24" s="842"/>
      <c r="O24" s="842"/>
      <c r="P24" s="842"/>
      <c r="Q24" s="842"/>
      <c r="R24" s="843"/>
      <c r="S24" s="841" t="s">
        <v>1036</v>
      </c>
      <c r="T24" s="842"/>
      <c r="U24" s="842"/>
      <c r="V24" s="842"/>
      <c r="W24" s="842"/>
      <c r="X24" s="842"/>
      <c r="Y24" s="843"/>
    </row>
    <row r="25" spans="1:25" ht="45" customHeight="1">
      <c r="A25" s="839" t="s">
        <v>81</v>
      </c>
      <c r="B25" s="840"/>
      <c r="C25" s="841" t="s">
        <v>517</v>
      </c>
      <c r="D25" s="842"/>
      <c r="E25" s="842"/>
      <c r="F25" s="842"/>
      <c r="G25" s="842"/>
      <c r="H25" s="842"/>
      <c r="I25" s="842"/>
      <c r="J25" s="842"/>
      <c r="K25" s="843"/>
      <c r="L25" s="841" t="s">
        <v>517</v>
      </c>
      <c r="M25" s="842"/>
      <c r="N25" s="842"/>
      <c r="O25" s="842"/>
      <c r="P25" s="842"/>
      <c r="Q25" s="842"/>
      <c r="R25" s="843"/>
      <c r="S25" s="841" t="s">
        <v>654</v>
      </c>
      <c r="T25" s="842"/>
      <c r="U25" s="842"/>
      <c r="V25" s="842"/>
      <c r="W25" s="842"/>
      <c r="X25" s="842"/>
      <c r="Y25" s="843"/>
    </row>
    <row r="26" spans="1:25" ht="45" customHeight="1">
      <c r="A26" s="839" t="s">
        <v>80</v>
      </c>
      <c r="B26" s="840"/>
      <c r="C26" s="841" t="s">
        <v>1037</v>
      </c>
      <c r="D26" s="842"/>
      <c r="E26" s="842"/>
      <c r="F26" s="842"/>
      <c r="G26" s="842"/>
      <c r="H26" s="842"/>
      <c r="I26" s="842"/>
      <c r="J26" s="842"/>
      <c r="K26" s="843"/>
      <c r="L26" s="841" t="s">
        <v>1038</v>
      </c>
      <c r="M26" s="842"/>
      <c r="N26" s="842"/>
      <c r="O26" s="842"/>
      <c r="P26" s="842"/>
      <c r="Q26" s="842"/>
      <c r="R26" s="843"/>
      <c r="S26" s="841" t="s">
        <v>1039</v>
      </c>
      <c r="T26" s="842"/>
      <c r="U26" s="842"/>
      <c r="V26" s="842"/>
      <c r="W26" s="842"/>
      <c r="X26" s="842"/>
      <c r="Y26" s="843"/>
    </row>
    <row r="27" spans="1:25" ht="45" customHeight="1">
      <c r="A27" s="844" t="s">
        <v>335</v>
      </c>
      <c r="B27" s="845"/>
      <c r="C27" s="841" t="s">
        <v>1040</v>
      </c>
      <c r="D27" s="842"/>
      <c r="E27" s="842"/>
      <c r="F27" s="842"/>
      <c r="G27" s="842"/>
      <c r="H27" s="842"/>
      <c r="I27" s="842"/>
      <c r="J27" s="842"/>
      <c r="K27" s="843"/>
      <c r="L27" s="841" t="s">
        <v>1041</v>
      </c>
      <c r="M27" s="842"/>
      <c r="N27" s="842"/>
      <c r="O27" s="842"/>
      <c r="P27" s="842"/>
      <c r="Q27" s="842"/>
      <c r="R27" s="843"/>
      <c r="S27" s="841" t="s">
        <v>1042</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7:B27"/>
    <mergeCell ref="C27:K27"/>
    <mergeCell ref="L27:R27"/>
    <mergeCell ref="S27:Y27"/>
    <mergeCell ref="A24:B24"/>
    <mergeCell ref="C24:K24"/>
    <mergeCell ref="L24:R24"/>
    <mergeCell ref="S24:Y24"/>
    <mergeCell ref="A25:B25"/>
    <mergeCell ref="C25:K25"/>
    <mergeCell ref="L25:R25"/>
    <mergeCell ref="S25:Y25"/>
    <mergeCell ref="A26:B26"/>
    <mergeCell ref="C26:K26"/>
    <mergeCell ref="L26:R26"/>
    <mergeCell ref="S26:Y26"/>
    <mergeCell ref="A21:Y21"/>
    <mergeCell ref="C22:K22"/>
    <mergeCell ref="L22:R22"/>
    <mergeCell ref="S22:Y22"/>
    <mergeCell ref="A23:B23"/>
    <mergeCell ref="C23:K23"/>
    <mergeCell ref="L23:R23"/>
    <mergeCell ref="S23:Y23"/>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18DCC-E939-4D27-905B-7D69CADAFFE0}">
  <sheetPr>
    <tabColor theme="0"/>
  </sheetPr>
  <dimension ref="A1:Y35"/>
  <sheetViews>
    <sheetView topLeftCell="A16" zoomScale="70" zoomScaleNormal="70" workbookViewId="0">
      <selection activeCell="A25" sqref="A25:B25"/>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4" width="8.5703125" style="393" customWidth="1"/>
    <col min="25" max="25" width="21" style="393" customWidth="1"/>
    <col min="26" max="31" width="4.7109375" style="393" customWidth="1"/>
    <col min="32" max="16384" width="11.42578125" style="393"/>
  </cols>
  <sheetData>
    <row r="1" spans="1:25" ht="18" customHeight="1">
      <c r="A1" s="883" t="s">
        <v>1044</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10) Préserver la santé et aider l'homme</v>
      </c>
      <c r="C2" s="886"/>
      <c r="D2" s="886"/>
      <c r="E2" s="886"/>
      <c r="F2" s="886"/>
      <c r="G2" s="886"/>
      <c r="H2" s="886"/>
      <c r="I2" s="886"/>
      <c r="J2" s="886"/>
      <c r="K2" s="886"/>
      <c r="L2" s="886"/>
      <c r="M2" s="887"/>
      <c r="N2" s="407" t="str">
        <f>INDEX(Problématiques_compétences!$B$3:$D$118,MATCH(A1,Problématiques_compétences!$D$3:$D$118,0),1)</f>
        <v>Comment aider une personne ayant subi un AVC à rééduquer la motricité de ses membres supérieures à l'aide de la réalité augmentée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2.7</v>
      </c>
      <c r="B4" s="872" t="str">
        <f ca="1">INDEX(Programme!$B$4:$C$46,MATCH(A4,Programme!$B$4:$B$46,0),2)</f>
        <v>► Imaginer, concevoir et programmer des applications informatiques nomades.</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DIC.1.5</v>
      </c>
      <c r="L4" s="873" t="str">
        <f ca="1">IFERROR(INDEX(Programme!$I$7:$J$94,MATCH($K4,Programme!$I$7:$I$94,0),2),"")</f>
        <v>Imaginer des solutions pour produire des objets et des éléments de programmes informatiques en réponse au besoin.</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Design. Innovation et créativité. Veille. Représentation de solutions (croquis, schémas, algorithmes). Réalité augmentée. Objets connectés.</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IP.2.2</v>
      </c>
      <c r="L5" s="879" t="str">
        <f ca="1">IFERROR(INDEX(Programme!$I$7:$J$94,MATCH($K5,Programme!$I$7:$I$94,0),2),"")</f>
        <v>Écrire, mettre au point (tester, corriger) et exécuter un programme commandant un système réel et vérifier le comportement attendu.</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4.1</v>
      </c>
      <c r="B6" s="872" t="str">
        <f ca="1">IFERROR(INDEX(Programme!$B$4:$C$46,MATCH(A6,Programme!$B$4:$B$46,0),2),"")</f>
        <v>► Décrire, en utilisant les outils et langages de descriptions adaptés, la structure et le comportement des objets.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OTSCIS.1.4</v>
      </c>
      <c r="L6" s="873" t="str">
        <f ca="1">IFERROR(INDEX(Programme!$I$7:$J$94,MATCH($K6,Programme!$I$7:$I$94,0),2),"")</f>
        <v>Élaborer un document qui synthétise ces comparaisons et ces commentaires.</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Outils numériques de présentation. Charte graphique.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MSOST.1.5</v>
      </c>
      <c r="L7" s="879" t="str">
        <f ca="1">IFERROR(INDEX(Programme!$I$7:$J$94,MATCH($K7,Programme!$I$7:$I$94,0),2),"")</f>
        <v>Décrire, en utilisant les outils et langages de descriptions adaptés, le fonctionnement, la structure et le comportement des objets.</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Outils de description d’un fonctionnement, d’une structure et d’un comportement.</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4.2</v>
      </c>
      <c r="B8" s="872" t="str">
        <f ca="1">IFERROR(INDEX(Programme!$B$4:$C$46,MATCH(A8,Programme!$B$4:$B$46,0),2),"")</f>
        <v>► Appliquer les principes élémentaires de l’algorithmique et du codage à la résolution d’un problème simple.</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IP.2.3</v>
      </c>
      <c r="L8" s="873" t="str">
        <f ca="1">IFERROR(INDEX(Programme!$I$7:$J$94,MATCH($K8,Programme!$I$7:$I$94,0),2),"")</f>
        <v>Écrire un programme dans lequel des actions sont déclenchées par des événements extérieurs.</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CS 5.7</v>
      </c>
      <c r="B10" s="872" t="str">
        <f ca="1">IFERROR(INDEX(Programme!$B$4:$C$46,MATCH(A10,Programme!$B$4:$B$46,0),2),"")</f>
        <v>► Analyser le comportement attendu d’un système réel et décomposer le problème posé en sous-problèmes afin de structurer un programme de commande.</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IP.2.1</v>
      </c>
      <c r="L10" s="873" t="str">
        <f ca="1">IFERROR(INDEX(Programme!$I$7:$J$94,MATCH($K10,Programme!$I$7:$I$94,0),2),"")</f>
        <v>Analyser le comportement attendu d’un système réel et décomposer le problème posé en sous-problèmes afin de structurer un programme de commande.</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58" t="s">
        <v>70</v>
      </c>
      <c r="B12" s="568"/>
      <c r="C12" s="568"/>
      <c r="D12" s="568"/>
      <c r="E12" s="568"/>
      <c r="F12" s="568"/>
      <c r="G12" s="568"/>
      <c r="H12" s="568"/>
      <c r="I12" s="568"/>
      <c r="J12" s="568"/>
      <c r="K12" s="430"/>
      <c r="L12" s="460"/>
      <c r="M12" s="432"/>
      <c r="N12" s="461" t="s">
        <v>72</v>
      </c>
      <c r="O12" s="462"/>
      <c r="P12" s="462"/>
      <c r="Q12" s="462"/>
      <c r="R12" s="462"/>
      <c r="S12" s="462"/>
      <c r="T12" s="462"/>
      <c r="U12" s="462"/>
      <c r="V12" s="462"/>
      <c r="W12" s="462"/>
      <c r="X12" s="462"/>
      <c r="Y12" s="463"/>
    </row>
    <row r="13" spans="1:25" ht="30.75" customHeight="1">
      <c r="A13" s="894" t="s">
        <v>1045</v>
      </c>
      <c r="B13" s="894"/>
      <c r="C13" s="894"/>
      <c r="D13" s="894"/>
      <c r="E13" s="894"/>
      <c r="F13" s="894"/>
      <c r="G13" s="894"/>
      <c r="H13" s="894"/>
      <c r="I13" s="894"/>
      <c r="J13" s="894"/>
      <c r="K13" s="894"/>
      <c r="L13" s="894"/>
      <c r="M13" s="894"/>
      <c r="N13" s="894" t="s">
        <v>1046</v>
      </c>
      <c r="O13" s="894"/>
      <c r="P13" s="894"/>
      <c r="Q13" s="894"/>
      <c r="R13" s="894"/>
      <c r="S13" s="894"/>
      <c r="T13" s="894"/>
      <c r="U13" s="894"/>
      <c r="V13" s="894"/>
      <c r="W13" s="894"/>
      <c r="X13" s="894"/>
      <c r="Y13" s="894"/>
    </row>
    <row r="14" spans="1:25" ht="189.75" customHeight="1">
      <c r="A14" s="894"/>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row>
    <row r="15" spans="1:25" ht="16.5" customHeight="1">
      <c r="A15" s="464" t="s">
        <v>376</v>
      </c>
      <c r="B15" s="569"/>
      <c r="C15" s="570"/>
      <c r="D15" s="570"/>
      <c r="E15" s="570"/>
      <c r="F15" s="570"/>
      <c r="G15" s="570"/>
      <c r="H15" s="570"/>
      <c r="I15" s="570"/>
      <c r="J15" s="570"/>
      <c r="K15" s="439"/>
      <c r="L15" s="467"/>
      <c r="M15" s="441"/>
      <c r="N15" s="468" t="s">
        <v>377</v>
      </c>
      <c r="O15" s="469"/>
      <c r="P15" s="469"/>
      <c r="Q15" s="469"/>
      <c r="R15" s="469"/>
      <c r="S15" s="469"/>
      <c r="T15" s="469"/>
      <c r="U15" s="469"/>
      <c r="V15" s="469"/>
      <c r="W15" s="469"/>
      <c r="X15" s="469"/>
      <c r="Y15" s="470"/>
    </row>
    <row r="16" spans="1:25" ht="30" customHeight="1" thickBot="1">
      <c r="A16" s="895" t="s">
        <v>1047</v>
      </c>
      <c r="B16" s="895"/>
      <c r="C16" s="895"/>
      <c r="D16" s="895"/>
      <c r="E16" s="895"/>
      <c r="F16" s="895"/>
      <c r="G16" s="895"/>
      <c r="H16" s="895"/>
      <c r="I16" s="895"/>
      <c r="J16" s="895"/>
      <c r="K16" s="895"/>
      <c r="L16" s="895"/>
      <c r="M16" s="895"/>
      <c r="N16" s="895"/>
      <c r="O16" s="895"/>
      <c r="P16" s="895"/>
      <c r="Q16" s="895"/>
      <c r="R16" s="895"/>
      <c r="S16" s="895"/>
      <c r="T16" s="895"/>
      <c r="U16" s="895"/>
      <c r="V16" s="895"/>
      <c r="W16" s="895"/>
      <c r="X16" s="895"/>
      <c r="Y16" s="895"/>
    </row>
    <row r="17" spans="1:25" ht="30" customHeight="1" thickBot="1">
      <c r="A17" s="895"/>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row>
    <row r="18" spans="1:25" ht="16.5" customHeight="1" thickBot="1">
      <c r="A18" s="554" t="s">
        <v>73</v>
      </c>
      <c r="B18" s="462"/>
      <c r="C18" s="462"/>
      <c r="D18" s="462"/>
      <c r="E18" s="545"/>
      <c r="F18" s="939" t="s">
        <v>1048</v>
      </c>
      <c r="G18" s="939"/>
      <c r="H18" s="939"/>
      <c r="I18" s="939"/>
      <c r="J18" s="939"/>
      <c r="K18" s="939"/>
      <c r="L18" s="939"/>
      <c r="M18" s="939"/>
      <c r="N18" s="896" t="s">
        <v>382</v>
      </c>
      <c r="O18" s="896"/>
      <c r="P18" s="896"/>
      <c r="Q18" s="896"/>
      <c r="R18" s="984" t="s">
        <v>1049</v>
      </c>
      <c r="S18" s="984"/>
      <c r="T18" s="984"/>
      <c r="U18" s="984"/>
      <c r="V18" s="984"/>
      <c r="W18" s="984"/>
      <c r="X18" s="984"/>
      <c r="Y18" s="984"/>
    </row>
    <row r="19" spans="1:25" ht="30.75" customHeight="1" thickBot="1">
      <c r="A19" s="546" t="s">
        <v>465</v>
      </c>
      <c r="B19" s="547"/>
      <c r="C19" s="985" t="s">
        <v>1050</v>
      </c>
      <c r="D19" s="985"/>
      <c r="E19" s="985"/>
      <c r="F19" s="985"/>
      <c r="G19" s="985"/>
      <c r="H19" s="985"/>
      <c r="I19" s="985"/>
      <c r="J19" s="985"/>
      <c r="K19" s="985"/>
      <c r="L19" s="985"/>
      <c r="M19" s="985"/>
      <c r="N19" s="896"/>
      <c r="O19" s="896"/>
      <c r="P19" s="896"/>
      <c r="Q19" s="896"/>
      <c r="R19" s="984"/>
      <c r="S19" s="984"/>
      <c r="T19" s="984"/>
      <c r="U19" s="984"/>
      <c r="V19" s="984"/>
      <c r="W19" s="984"/>
      <c r="X19" s="984"/>
      <c r="Y19" s="984"/>
    </row>
    <row r="20" spans="1:25">
      <c r="A20" s="477"/>
      <c r="B20" s="469"/>
      <c r="C20" s="469"/>
      <c r="D20" s="469"/>
      <c r="E20" s="469"/>
      <c r="F20" s="469"/>
      <c r="G20" s="469"/>
      <c r="H20" s="439"/>
      <c r="I20" s="439"/>
      <c r="J20" s="439"/>
      <c r="K20" s="478"/>
      <c r="L20" s="478"/>
      <c r="M20" s="478"/>
      <c r="N20" s="478"/>
      <c r="O20" s="553"/>
      <c r="P20" s="553"/>
      <c r="Q20" s="553"/>
      <c r="R20" s="553"/>
      <c r="S20" s="553"/>
      <c r="T20" s="553"/>
      <c r="U20" s="553"/>
      <c r="V20" s="553"/>
      <c r="W20" s="553"/>
      <c r="X20" s="553"/>
      <c r="Y20" s="553"/>
    </row>
    <row r="21" spans="1:25" ht="15.75">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02" t="s">
        <v>75</v>
      </c>
      <c r="D22" s="902"/>
      <c r="E22" s="902"/>
      <c r="F22" s="902"/>
      <c r="G22" s="902"/>
      <c r="H22" s="902"/>
      <c r="I22" s="902"/>
      <c r="J22" s="902"/>
      <c r="K22" s="902"/>
      <c r="L22" s="903" t="s">
        <v>76</v>
      </c>
      <c r="M22" s="903"/>
      <c r="N22" s="903"/>
      <c r="O22" s="903"/>
      <c r="P22" s="903"/>
      <c r="Q22" s="903"/>
      <c r="R22" s="903"/>
      <c r="S22" s="902" t="s">
        <v>77</v>
      </c>
      <c r="T22" s="902"/>
      <c r="U22" s="902"/>
      <c r="V22" s="902"/>
      <c r="W22" s="902"/>
      <c r="X22" s="902"/>
      <c r="Y22" s="902"/>
    </row>
    <row r="23" spans="1:25" ht="33.75" customHeight="1">
      <c r="A23" s="904" t="s">
        <v>78</v>
      </c>
      <c r="B23" s="904"/>
      <c r="C23" s="905" t="s">
        <v>1051</v>
      </c>
      <c r="D23" s="905"/>
      <c r="E23" s="905"/>
      <c r="F23" s="905"/>
      <c r="G23" s="905"/>
      <c r="H23" s="905"/>
      <c r="I23" s="905"/>
      <c r="J23" s="905"/>
      <c r="K23" s="905"/>
      <c r="L23" s="906" t="s">
        <v>1052</v>
      </c>
      <c r="M23" s="906"/>
      <c r="N23" s="906"/>
      <c r="O23" s="906"/>
      <c r="P23" s="906"/>
      <c r="Q23" s="906"/>
      <c r="R23" s="906"/>
      <c r="S23" s="905" t="s">
        <v>1053</v>
      </c>
      <c r="T23" s="905"/>
      <c r="U23" s="905"/>
      <c r="V23" s="905"/>
      <c r="W23" s="905"/>
      <c r="X23" s="905"/>
      <c r="Y23" s="905"/>
    </row>
    <row r="24" spans="1:25" ht="207" customHeight="1">
      <c r="A24" s="907" t="s">
        <v>79</v>
      </c>
      <c r="B24" s="907"/>
      <c r="C24" s="942" t="s">
        <v>1054</v>
      </c>
      <c r="D24" s="942"/>
      <c r="E24" s="942"/>
      <c r="F24" s="942"/>
      <c r="G24" s="942"/>
      <c r="H24" s="942"/>
      <c r="I24" s="942"/>
      <c r="J24" s="942"/>
      <c r="K24" s="942"/>
      <c r="L24" s="942" t="s">
        <v>1055</v>
      </c>
      <c r="M24" s="942"/>
      <c r="N24" s="942"/>
      <c r="O24" s="942"/>
      <c r="P24" s="942"/>
      <c r="Q24" s="942"/>
      <c r="R24" s="942"/>
      <c r="S24" s="942" t="s">
        <v>1056</v>
      </c>
      <c r="T24" s="942"/>
      <c r="U24" s="942"/>
      <c r="V24" s="942"/>
      <c r="W24" s="942"/>
      <c r="X24" s="942"/>
      <c r="Y24" s="942"/>
    </row>
    <row r="25" spans="1:25" ht="45" customHeight="1">
      <c r="A25" s="908" t="s">
        <v>81</v>
      </c>
      <c r="B25" s="908"/>
      <c r="C25" s="905" t="s">
        <v>1057</v>
      </c>
      <c r="D25" s="905"/>
      <c r="E25" s="905"/>
      <c r="F25" s="905"/>
      <c r="G25" s="905"/>
      <c r="H25" s="905"/>
      <c r="I25" s="905"/>
      <c r="J25" s="905"/>
      <c r="K25" s="905"/>
      <c r="L25" s="905" t="s">
        <v>732</v>
      </c>
      <c r="M25" s="905"/>
      <c r="N25" s="905"/>
      <c r="O25" s="905"/>
      <c r="P25" s="905"/>
      <c r="Q25" s="905"/>
      <c r="R25" s="905"/>
      <c r="S25" s="905" t="s">
        <v>732</v>
      </c>
      <c r="T25" s="905"/>
      <c r="U25" s="905"/>
      <c r="V25" s="905"/>
      <c r="W25" s="905"/>
      <c r="X25" s="905"/>
      <c r="Y25" s="905"/>
    </row>
    <row r="26" spans="1:25" ht="45" customHeight="1">
      <c r="A26" s="908" t="s">
        <v>80</v>
      </c>
      <c r="B26" s="908"/>
      <c r="C26" s="905" t="s">
        <v>1058</v>
      </c>
      <c r="D26" s="905"/>
      <c r="E26" s="905"/>
      <c r="F26" s="905"/>
      <c r="G26" s="905"/>
      <c r="H26" s="905"/>
      <c r="I26" s="905"/>
      <c r="J26" s="905"/>
      <c r="K26" s="905"/>
      <c r="L26" s="905" t="s">
        <v>1059</v>
      </c>
      <c r="M26" s="905"/>
      <c r="N26" s="905"/>
      <c r="O26" s="905"/>
      <c r="P26" s="905"/>
      <c r="Q26" s="905"/>
      <c r="R26" s="905"/>
      <c r="S26" s="905" t="s">
        <v>1060</v>
      </c>
      <c r="T26" s="905"/>
      <c r="U26" s="905"/>
      <c r="V26" s="905"/>
      <c r="W26" s="905"/>
      <c r="X26" s="905"/>
      <c r="Y26" s="905"/>
    </row>
    <row r="27" spans="1:25" ht="45" customHeight="1">
      <c r="A27" s="907" t="s">
        <v>542</v>
      </c>
      <c r="B27" s="907"/>
      <c r="C27" s="905" t="s">
        <v>1061</v>
      </c>
      <c r="D27" s="905"/>
      <c r="E27" s="905"/>
      <c r="F27" s="905"/>
      <c r="G27" s="905"/>
      <c r="H27" s="905"/>
      <c r="I27" s="905"/>
      <c r="J27" s="905"/>
      <c r="K27" s="905"/>
      <c r="L27" s="905" t="s">
        <v>1062</v>
      </c>
      <c r="M27" s="905"/>
      <c r="N27" s="905"/>
      <c r="O27" s="905"/>
      <c r="P27" s="905"/>
      <c r="Q27" s="905"/>
      <c r="R27" s="905"/>
      <c r="S27" s="905" t="s">
        <v>1062</v>
      </c>
      <c r="T27" s="905"/>
      <c r="U27" s="905"/>
      <c r="V27" s="905"/>
      <c r="W27" s="905"/>
      <c r="X27" s="905"/>
      <c r="Y27" s="905"/>
    </row>
    <row r="30" spans="1:25">
      <c r="D30" s="394"/>
    </row>
    <row r="32" spans="1:25">
      <c r="I32" s="396"/>
      <c r="J32" s="396"/>
      <c r="K32" s="396"/>
    </row>
    <row r="33" spans="9:11" ht="15.75">
      <c r="I33" s="397"/>
      <c r="J33" s="398"/>
      <c r="K33" s="395"/>
    </row>
    <row r="34" spans="9:11">
      <c r="I34" s="396"/>
      <c r="J34" s="395"/>
    </row>
    <row r="35" spans="9:11">
      <c r="I35" s="396"/>
    </row>
  </sheetData>
  <mergeCells count="55">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Y19"/>
    <mergeCell ref="C19:M19"/>
    <mergeCell ref="F18:M18"/>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A1:BC119"/>
  <sheetViews>
    <sheetView tabSelected="1" zoomScale="70" zoomScaleNormal="70" workbookViewId="0">
      <selection activeCell="F68" sqref="F68:BA68"/>
    </sheetView>
  </sheetViews>
  <sheetFormatPr baseColWidth="10" defaultColWidth="11.28515625" defaultRowHeight="15"/>
  <cols>
    <col min="1" max="1" width="34.85546875" style="128" customWidth="1"/>
    <col min="2" max="2" width="148.140625" style="112" customWidth="1"/>
    <col min="3" max="3" width="7.28515625" style="129" customWidth="1"/>
    <col min="4" max="4" width="7.28515625" style="112" customWidth="1"/>
    <col min="5" max="5" width="3.28515625" style="112" customWidth="1"/>
    <col min="6" max="9" width="10.7109375" style="129" customWidth="1"/>
    <col min="10" max="10" width="10.7109375" style="259" customWidth="1"/>
    <col min="11" max="11" width="13.140625" style="259" customWidth="1"/>
    <col min="12" max="13" width="10.7109375" style="259" customWidth="1"/>
    <col min="14" max="17" width="10.7109375" style="129" customWidth="1"/>
    <col min="18" max="27" width="10.7109375" style="112" customWidth="1"/>
    <col min="28" max="30" width="10.7109375" style="129" customWidth="1"/>
    <col min="31" max="32" width="10.7109375" style="259" customWidth="1"/>
    <col min="33" max="39" width="10.7109375" style="129" customWidth="1"/>
    <col min="43" max="53" width="7.85546875" style="129" customWidth="1"/>
    <col min="54" max="16384" width="11.28515625" style="112"/>
  </cols>
  <sheetData>
    <row r="1" spans="1:55" ht="297" customHeight="1">
      <c r="A1" s="267"/>
      <c r="B1" s="136" t="s">
        <v>299</v>
      </c>
      <c r="C1" s="326" t="s">
        <v>385</v>
      </c>
      <c r="D1" s="132" t="s">
        <v>258</v>
      </c>
      <c r="E1" s="133" t="s">
        <v>69</v>
      </c>
      <c r="F1" s="110" t="s">
        <v>279</v>
      </c>
      <c r="G1" s="110" t="s">
        <v>44</v>
      </c>
      <c r="H1" s="207" t="s">
        <v>280</v>
      </c>
      <c r="I1" s="207" t="s">
        <v>282</v>
      </c>
      <c r="J1" s="256" t="s">
        <v>61</v>
      </c>
      <c r="K1" s="256" t="s">
        <v>36</v>
      </c>
      <c r="L1" s="256" t="s">
        <v>65</v>
      </c>
      <c r="M1" s="257" t="s">
        <v>39</v>
      </c>
      <c r="N1" s="206" t="s">
        <v>281</v>
      </c>
      <c r="O1" s="206" t="s">
        <v>283</v>
      </c>
      <c r="P1" s="205" t="s">
        <v>284</v>
      </c>
      <c r="Q1" s="205" t="s">
        <v>135</v>
      </c>
      <c r="R1" s="206" t="s">
        <v>285</v>
      </c>
      <c r="S1" s="206" t="s">
        <v>286</v>
      </c>
      <c r="T1" s="206" t="s">
        <v>287</v>
      </c>
      <c r="U1" s="206" t="s">
        <v>288</v>
      </c>
      <c r="V1" s="206" t="s">
        <v>289</v>
      </c>
      <c r="W1" s="206" t="s">
        <v>47</v>
      </c>
      <c r="X1" s="206" t="s">
        <v>290</v>
      </c>
      <c r="Y1" s="206" t="s">
        <v>291</v>
      </c>
      <c r="Z1" s="205" t="s">
        <v>292</v>
      </c>
      <c r="AA1" s="206" t="s">
        <v>50</v>
      </c>
      <c r="AB1" s="206" t="s">
        <v>293</v>
      </c>
      <c r="AC1" s="206" t="s">
        <v>294</v>
      </c>
      <c r="AD1" s="206" t="s">
        <v>295</v>
      </c>
      <c r="AE1" s="257" t="s">
        <v>98</v>
      </c>
      <c r="AF1" s="257" t="s">
        <v>37</v>
      </c>
      <c r="AG1" s="206" t="s">
        <v>177</v>
      </c>
      <c r="AH1" s="205" t="s">
        <v>296</v>
      </c>
      <c r="AI1" s="205" t="s">
        <v>455</v>
      </c>
      <c r="AJ1" s="212" t="s">
        <v>54</v>
      </c>
      <c r="AK1" s="207" t="s">
        <v>53</v>
      </c>
      <c r="AL1" s="208"/>
      <c r="AM1" s="208"/>
      <c r="AQ1" s="209"/>
      <c r="AR1" s="210"/>
      <c r="AS1" s="211"/>
      <c r="AT1" s="203"/>
      <c r="AU1" s="203"/>
      <c r="AV1" s="203"/>
      <c r="AW1" s="204"/>
      <c r="AX1" s="203"/>
      <c r="AY1" s="203"/>
      <c r="AZ1" s="203"/>
      <c r="BA1" s="203"/>
    </row>
    <row r="2" spans="1:55">
      <c r="A2" s="113" t="s">
        <v>42</v>
      </c>
      <c r="B2" s="114" t="s">
        <v>298</v>
      </c>
      <c r="C2" s="248"/>
      <c r="D2" s="248"/>
      <c r="E2" s="135"/>
      <c r="F2" s="115" t="s">
        <v>239</v>
      </c>
      <c r="G2" s="115" t="s">
        <v>236</v>
      </c>
      <c r="H2" s="115" t="s">
        <v>234</v>
      </c>
      <c r="I2" s="115" t="s">
        <v>233</v>
      </c>
      <c r="J2" s="258" t="s">
        <v>338</v>
      </c>
      <c r="K2" s="258" t="s">
        <v>339</v>
      </c>
      <c r="L2" s="259" t="s">
        <v>340</v>
      </c>
      <c r="M2" s="258" t="s">
        <v>341</v>
      </c>
      <c r="N2" s="115" t="s">
        <v>227</v>
      </c>
      <c r="O2" s="115" t="s">
        <v>224</v>
      </c>
      <c r="P2" s="115" t="s">
        <v>221</v>
      </c>
      <c r="Q2" s="115" t="s">
        <v>218</v>
      </c>
      <c r="R2" s="115" t="s">
        <v>214</v>
      </c>
      <c r="S2" s="115" t="s">
        <v>211</v>
      </c>
      <c r="T2" s="115" t="s">
        <v>209</v>
      </c>
      <c r="U2" s="115" t="s">
        <v>206</v>
      </c>
      <c r="V2" s="115" t="s">
        <v>204</v>
      </c>
      <c r="W2" s="115" t="s">
        <v>200</v>
      </c>
      <c r="X2" s="116" t="s">
        <v>195</v>
      </c>
      <c r="Y2" s="116" t="s">
        <v>194</v>
      </c>
      <c r="Z2" s="115" t="s">
        <v>188</v>
      </c>
      <c r="AA2" s="115" t="s">
        <v>187</v>
      </c>
      <c r="AB2" s="115" t="s">
        <v>185</v>
      </c>
      <c r="AC2" s="115" t="s">
        <v>183</v>
      </c>
      <c r="AD2" s="115" t="s">
        <v>182</v>
      </c>
      <c r="AE2" s="258" t="s">
        <v>336</v>
      </c>
      <c r="AF2" s="258" t="s">
        <v>337</v>
      </c>
      <c r="AG2" s="115" t="s">
        <v>178</v>
      </c>
      <c r="AH2" s="115" t="s">
        <v>176</v>
      </c>
      <c r="AI2" s="115" t="s">
        <v>175</v>
      </c>
      <c r="AJ2" s="115" t="s">
        <v>170</v>
      </c>
      <c r="AK2" s="117" t="s">
        <v>167</v>
      </c>
      <c r="AL2" s="117"/>
      <c r="AM2" s="117"/>
      <c r="AN2" s="9"/>
      <c r="AO2" s="9"/>
      <c r="AP2" s="9"/>
      <c r="AQ2" s="111"/>
      <c r="AR2" s="119"/>
      <c r="AS2" s="119"/>
      <c r="AT2" s="111"/>
      <c r="AU2" s="120"/>
      <c r="AV2" s="120"/>
      <c r="AW2" s="120"/>
      <c r="AX2" s="120"/>
      <c r="AY2" s="120"/>
      <c r="AZ2" s="120"/>
      <c r="BA2" s="120"/>
    </row>
    <row r="3" spans="1:55" ht="14.25" customHeight="1">
      <c r="A3" s="789" t="s">
        <v>297</v>
      </c>
      <c r="B3" s="790"/>
      <c r="C3" s="790"/>
      <c r="D3" s="268"/>
      <c r="E3" s="130"/>
      <c r="F3" s="131">
        <f>COUNTA(F4:F117)</f>
        <v>1</v>
      </c>
      <c r="G3" s="131">
        <f t="shared" ref="G3:AK3" si="0">COUNTA(G4:G117)</f>
        <v>3</v>
      </c>
      <c r="H3" s="131">
        <f t="shared" si="0"/>
        <v>2</v>
      </c>
      <c r="I3" s="131">
        <f t="shared" si="0"/>
        <v>5</v>
      </c>
      <c r="J3" s="131">
        <f t="shared" si="0"/>
        <v>1</v>
      </c>
      <c r="K3" s="131">
        <f t="shared" si="0"/>
        <v>5</v>
      </c>
      <c r="L3" s="131">
        <f t="shared" si="0"/>
        <v>2</v>
      </c>
      <c r="M3" s="131">
        <f t="shared" si="0"/>
        <v>2</v>
      </c>
      <c r="N3" s="131">
        <f t="shared" si="0"/>
        <v>4</v>
      </c>
      <c r="O3" s="131">
        <f t="shared" si="0"/>
        <v>4</v>
      </c>
      <c r="P3" s="131">
        <f t="shared" si="0"/>
        <v>5</v>
      </c>
      <c r="Q3" s="131">
        <f t="shared" si="0"/>
        <v>4</v>
      </c>
      <c r="R3" s="131">
        <f t="shared" si="0"/>
        <v>4</v>
      </c>
      <c r="S3" s="131">
        <f t="shared" si="0"/>
        <v>5</v>
      </c>
      <c r="T3" s="131">
        <f t="shared" si="0"/>
        <v>6</v>
      </c>
      <c r="U3" s="131">
        <f t="shared" si="0"/>
        <v>5</v>
      </c>
      <c r="V3" s="131">
        <f t="shared" si="0"/>
        <v>4</v>
      </c>
      <c r="W3" s="131">
        <f t="shared" si="0"/>
        <v>4</v>
      </c>
      <c r="X3" s="131">
        <f t="shared" si="0"/>
        <v>7</v>
      </c>
      <c r="Y3" s="131">
        <f t="shared" si="0"/>
        <v>6</v>
      </c>
      <c r="Z3" s="131">
        <f t="shared" si="0"/>
        <v>5</v>
      </c>
      <c r="AA3" s="131">
        <f t="shared" si="0"/>
        <v>1</v>
      </c>
      <c r="AB3" s="131">
        <f t="shared" si="0"/>
        <v>2</v>
      </c>
      <c r="AC3" s="131">
        <f t="shared" si="0"/>
        <v>6</v>
      </c>
      <c r="AD3" s="131">
        <f t="shared" si="0"/>
        <v>4</v>
      </c>
      <c r="AE3" s="131">
        <f t="shared" si="0"/>
        <v>2</v>
      </c>
      <c r="AF3" s="131">
        <f t="shared" si="0"/>
        <v>3</v>
      </c>
      <c r="AG3" s="131">
        <f t="shared" si="0"/>
        <v>4</v>
      </c>
      <c r="AH3" s="131">
        <f t="shared" si="0"/>
        <v>1</v>
      </c>
      <c r="AI3" s="131">
        <f t="shared" si="0"/>
        <v>2</v>
      </c>
      <c r="AJ3" s="131">
        <f t="shared" si="0"/>
        <v>2</v>
      </c>
      <c r="AK3" s="131">
        <f t="shared" si="0"/>
        <v>2</v>
      </c>
      <c r="AL3" s="9"/>
      <c r="AM3" s="9"/>
      <c r="AN3" s="9"/>
      <c r="AO3" s="9"/>
      <c r="AP3" s="9"/>
      <c r="AQ3" s="111"/>
      <c r="AR3" s="119"/>
      <c r="AS3" s="119"/>
      <c r="AT3" s="111"/>
      <c r="AU3" s="121"/>
      <c r="AV3" s="121"/>
      <c r="AW3" s="121"/>
      <c r="AX3" s="121"/>
      <c r="AY3" s="121"/>
      <c r="AZ3" s="121"/>
      <c r="BA3" s="121"/>
    </row>
    <row r="4" spans="1:55" ht="15.75" customHeight="1" thickBot="1">
      <c r="A4" s="785" t="s">
        <v>471</v>
      </c>
      <c r="B4" s="571" t="s">
        <v>480</v>
      </c>
      <c r="C4" s="392"/>
      <c r="D4" s="594" t="s">
        <v>481</v>
      </c>
      <c r="E4" s="134">
        <f>COUNTA(F4:AK4)</f>
        <v>4</v>
      </c>
      <c r="F4" s="603"/>
      <c r="G4" s="603"/>
      <c r="H4" s="603"/>
      <c r="I4" s="603"/>
      <c r="J4" s="604"/>
      <c r="K4" s="604"/>
      <c r="L4" s="604" t="s">
        <v>482</v>
      </c>
      <c r="M4" s="604"/>
      <c r="N4" s="603"/>
      <c r="O4" s="603"/>
      <c r="P4" s="603"/>
      <c r="Q4" s="603" t="s">
        <v>482</v>
      </c>
      <c r="R4" s="603"/>
      <c r="S4" s="603"/>
      <c r="T4" s="603"/>
      <c r="U4" s="603" t="s">
        <v>482</v>
      </c>
      <c r="V4" s="603"/>
      <c r="W4" s="603"/>
      <c r="X4" s="603"/>
      <c r="Y4" s="603"/>
      <c r="Z4" s="603" t="s">
        <v>482</v>
      </c>
      <c r="AA4" s="603"/>
      <c r="AB4" s="603"/>
      <c r="AC4" s="603"/>
      <c r="AD4" s="603"/>
      <c r="AE4" s="604"/>
      <c r="AF4" s="604"/>
      <c r="AG4" s="603"/>
      <c r="AH4" s="603"/>
      <c r="AI4" s="603"/>
      <c r="AJ4" s="603"/>
      <c r="AK4" s="603"/>
      <c r="AL4" s="119"/>
      <c r="AM4" s="234"/>
      <c r="AN4" s="386"/>
      <c r="AO4" s="386"/>
      <c r="AP4" s="386"/>
      <c r="AQ4" s="119"/>
      <c r="AR4" s="119"/>
      <c r="AS4" s="119"/>
      <c r="AT4" s="119"/>
      <c r="AU4" s="119"/>
      <c r="AV4" s="119"/>
      <c r="AW4" s="119"/>
      <c r="AX4" s="119"/>
      <c r="AY4" s="119"/>
      <c r="AZ4" s="119"/>
      <c r="BA4" s="119"/>
      <c r="BC4" s="122"/>
    </row>
    <row r="5" spans="1:55" ht="15.75" customHeight="1" thickBot="1">
      <c r="A5" s="785"/>
      <c r="B5" s="572" t="s">
        <v>620</v>
      </c>
      <c r="C5" s="118"/>
      <c r="D5" s="595" t="s">
        <v>621</v>
      </c>
      <c r="E5" s="134">
        <f t="shared" ref="E5:E68" si="1">COUNTA(F5:AK5)</f>
        <v>4</v>
      </c>
      <c r="F5" s="608"/>
      <c r="G5" s="608"/>
      <c r="H5" s="608"/>
      <c r="I5" s="608"/>
      <c r="J5" s="608"/>
      <c r="K5" s="608"/>
      <c r="L5" s="608"/>
      <c r="M5" s="608"/>
      <c r="N5" s="608"/>
      <c r="O5" s="608"/>
      <c r="P5" s="608" t="s">
        <v>482</v>
      </c>
      <c r="Q5" s="608"/>
      <c r="R5" s="608" t="s">
        <v>482</v>
      </c>
      <c r="S5" s="608"/>
      <c r="T5" s="608"/>
      <c r="U5" s="608"/>
      <c r="V5" s="608" t="s">
        <v>482</v>
      </c>
      <c r="W5" s="608"/>
      <c r="X5" s="608"/>
      <c r="Y5" s="608"/>
      <c r="Z5" s="608" t="s">
        <v>482</v>
      </c>
      <c r="AA5" s="608"/>
      <c r="AB5" s="608"/>
      <c r="AC5" s="608"/>
      <c r="AD5" s="608"/>
      <c r="AE5" s="609"/>
      <c r="AF5" s="609"/>
      <c r="AG5" s="608"/>
      <c r="AH5" s="608"/>
      <c r="AI5" s="608"/>
      <c r="AJ5" s="608"/>
      <c r="AK5" s="608"/>
      <c r="AL5" s="602"/>
      <c r="AM5" s="234"/>
      <c r="AN5" s="386"/>
      <c r="AO5" s="386"/>
      <c r="AP5" s="386"/>
      <c r="AQ5" s="119"/>
      <c r="AR5" s="119"/>
      <c r="AS5" s="119"/>
      <c r="AT5" s="119"/>
      <c r="AU5" s="119"/>
      <c r="AV5" s="119"/>
      <c r="AW5" s="119"/>
      <c r="AX5" s="119"/>
      <c r="AY5" s="119"/>
      <c r="AZ5" s="119"/>
      <c r="BA5" s="119"/>
      <c r="BC5" s="122"/>
    </row>
    <row r="6" spans="1:55" ht="15.75" customHeight="1">
      <c r="A6" s="785"/>
      <c r="B6" s="573"/>
      <c r="C6" s="361"/>
      <c r="D6" s="596"/>
      <c r="E6" s="134">
        <f t="shared" si="1"/>
        <v>0</v>
      </c>
      <c r="F6" s="605"/>
      <c r="G6" s="605"/>
      <c r="H6" s="605"/>
      <c r="I6" s="605"/>
      <c r="J6" s="606"/>
      <c r="K6" s="606"/>
      <c r="L6" s="606"/>
      <c r="M6" s="606"/>
      <c r="N6" s="605"/>
      <c r="O6" s="605"/>
      <c r="P6" s="605"/>
      <c r="Q6" s="605"/>
      <c r="R6" s="605"/>
      <c r="S6" s="605"/>
      <c r="T6" s="605"/>
      <c r="U6" s="605"/>
      <c r="V6" s="605"/>
      <c r="W6" s="605"/>
      <c r="X6" s="605"/>
      <c r="Y6" s="605"/>
      <c r="Z6" s="605"/>
      <c r="AA6" s="605"/>
      <c r="AB6" s="605"/>
      <c r="AC6" s="605"/>
      <c r="AD6" s="605"/>
      <c r="AE6" s="607"/>
      <c r="AF6" s="607"/>
      <c r="AG6" s="605"/>
      <c r="AH6" s="605"/>
      <c r="AI6" s="605"/>
      <c r="AJ6" s="605"/>
      <c r="AK6" s="605"/>
      <c r="AL6" s="118"/>
      <c r="AM6" s="233"/>
      <c r="AN6" s="9"/>
      <c r="AO6" s="9"/>
      <c r="AP6" s="9"/>
      <c r="AQ6" s="118"/>
      <c r="AR6" s="118"/>
      <c r="AS6" s="118"/>
      <c r="AT6" s="118"/>
      <c r="AU6" s="118"/>
      <c r="AV6" s="118"/>
      <c r="AW6" s="118"/>
      <c r="AX6" s="118"/>
      <c r="AY6" s="118"/>
      <c r="AZ6" s="118"/>
      <c r="BA6" s="118"/>
      <c r="BC6" s="122"/>
    </row>
    <row r="7" spans="1:55" ht="15.75" customHeight="1">
      <c r="A7" s="785"/>
      <c r="B7" s="573"/>
      <c r="C7" s="118"/>
      <c r="D7" s="597"/>
      <c r="E7" s="134">
        <f t="shared" si="1"/>
        <v>0</v>
      </c>
      <c r="F7" s="262"/>
      <c r="G7" s="262"/>
      <c r="H7" s="263"/>
      <c r="I7" s="263"/>
      <c r="J7" s="263"/>
      <c r="K7" s="263"/>
      <c r="L7" s="263"/>
      <c r="M7" s="263"/>
      <c r="N7" s="262"/>
      <c r="O7" s="262"/>
      <c r="P7" s="262"/>
      <c r="Q7" s="262"/>
      <c r="R7" s="263"/>
      <c r="S7" s="263"/>
      <c r="T7" s="263"/>
      <c r="U7" s="262"/>
      <c r="V7" s="262"/>
      <c r="W7" s="262"/>
      <c r="X7" s="262"/>
      <c r="Y7" s="262"/>
      <c r="Z7" s="262"/>
      <c r="AA7" s="262"/>
      <c r="AB7" s="262"/>
      <c r="AC7" s="262"/>
      <c r="AD7" s="262"/>
      <c r="AE7" s="123"/>
      <c r="AF7" s="123"/>
      <c r="AG7" s="262"/>
      <c r="AH7" s="262"/>
      <c r="AI7" s="262"/>
      <c r="AJ7" s="262"/>
      <c r="AK7" s="262"/>
      <c r="AL7" s="118"/>
      <c r="AM7" s="233"/>
      <c r="AN7" s="9"/>
      <c r="AO7" s="9"/>
      <c r="AP7" s="9"/>
      <c r="AQ7" s="118"/>
      <c r="AR7" s="118"/>
      <c r="AS7" s="118"/>
      <c r="AT7" s="118"/>
      <c r="AU7" s="118"/>
      <c r="AV7" s="118"/>
      <c r="AW7" s="118"/>
      <c r="AX7" s="118"/>
      <c r="AY7" s="118"/>
      <c r="AZ7" s="118"/>
      <c r="BA7" s="118"/>
      <c r="BC7" s="122"/>
    </row>
    <row r="8" spans="1:55" ht="15.75" customHeight="1">
      <c r="A8" s="785"/>
      <c r="B8" s="574"/>
      <c r="C8" s="361"/>
      <c r="D8" s="597"/>
      <c r="E8" s="134">
        <f t="shared" si="1"/>
        <v>0</v>
      </c>
      <c r="F8" s="262"/>
      <c r="G8" s="262"/>
      <c r="H8" s="263"/>
      <c r="I8" s="263"/>
      <c r="J8" s="263"/>
      <c r="K8" s="263"/>
      <c r="L8" s="263"/>
      <c r="M8" s="263"/>
      <c r="N8" s="262"/>
      <c r="O8" s="262"/>
      <c r="P8" s="262"/>
      <c r="Q8" s="262"/>
      <c r="R8" s="263"/>
      <c r="S8" s="263"/>
      <c r="T8" s="263"/>
      <c r="U8" s="262"/>
      <c r="V8" s="262"/>
      <c r="W8" s="262"/>
      <c r="X8" s="262"/>
      <c r="Y8" s="262"/>
      <c r="Z8" s="262"/>
      <c r="AA8" s="262"/>
      <c r="AB8" s="262"/>
      <c r="AC8" s="262"/>
      <c r="AD8" s="262"/>
      <c r="AE8" s="123"/>
      <c r="AF8" s="123"/>
      <c r="AG8" s="262"/>
      <c r="AH8" s="262"/>
      <c r="AI8" s="262"/>
      <c r="AJ8" s="262"/>
      <c r="AK8" s="262"/>
      <c r="AL8" s="118"/>
      <c r="AM8" s="233"/>
      <c r="AN8" s="9"/>
      <c r="AO8" s="9"/>
      <c r="AP8" s="9"/>
      <c r="AQ8" s="118"/>
      <c r="AR8" s="118"/>
      <c r="AS8" s="118"/>
      <c r="AT8" s="118"/>
      <c r="AU8" s="118"/>
      <c r="AV8" s="118"/>
      <c r="AW8" s="118"/>
      <c r="AX8" s="118"/>
      <c r="AY8" s="118"/>
      <c r="AZ8" s="118"/>
      <c r="BA8" s="118"/>
      <c r="BC8" s="122"/>
    </row>
    <row r="9" spans="1:55" ht="15.75" customHeight="1">
      <c r="A9" s="785"/>
      <c r="B9" s="573"/>
      <c r="C9" s="361"/>
      <c r="D9" s="596"/>
      <c r="E9" s="134">
        <f t="shared" si="1"/>
        <v>0</v>
      </c>
      <c r="F9" s="262"/>
      <c r="G9" s="262"/>
      <c r="H9" s="263"/>
      <c r="I9" s="263"/>
      <c r="J9" s="263"/>
      <c r="K9" s="263"/>
      <c r="L9" s="263"/>
      <c r="M9" s="263"/>
      <c r="N9" s="262"/>
      <c r="O9" s="262"/>
      <c r="P9" s="262"/>
      <c r="Q9" s="262"/>
      <c r="R9" s="263"/>
      <c r="S9" s="263"/>
      <c r="T9" s="263"/>
      <c r="U9" s="262"/>
      <c r="V9" s="262"/>
      <c r="W9" s="262"/>
      <c r="X9" s="262"/>
      <c r="Y9" s="262"/>
      <c r="Z9" s="262"/>
      <c r="AA9" s="262"/>
      <c r="AB9" s="262"/>
      <c r="AC9" s="262"/>
      <c r="AD9" s="262"/>
      <c r="AE9" s="123"/>
      <c r="AF9" s="123"/>
      <c r="AG9" s="262"/>
      <c r="AH9" s="262"/>
      <c r="AI9" s="262"/>
      <c r="AJ9" s="262"/>
      <c r="AK9" s="262"/>
      <c r="AL9" s="118"/>
      <c r="AM9" s="233"/>
      <c r="AN9" s="9"/>
      <c r="AO9" s="9"/>
      <c r="AP9" s="9"/>
      <c r="AQ9" s="118"/>
      <c r="AR9" s="118"/>
      <c r="AS9" s="118"/>
      <c r="AT9" s="118"/>
      <c r="AU9" s="118"/>
      <c r="AV9" s="118"/>
      <c r="AW9" s="118"/>
      <c r="AX9" s="118"/>
      <c r="AY9" s="118"/>
      <c r="AZ9" s="118"/>
      <c r="BA9" s="118"/>
      <c r="BC9" s="122"/>
    </row>
    <row r="10" spans="1:55" ht="15.75" customHeight="1">
      <c r="A10" s="785"/>
      <c r="B10" s="573"/>
      <c r="C10" s="118"/>
      <c r="D10" s="597"/>
      <c r="E10" s="134">
        <f t="shared" si="1"/>
        <v>0</v>
      </c>
      <c r="F10" s="262"/>
      <c r="G10" s="262"/>
      <c r="H10" s="263"/>
      <c r="I10" s="263"/>
      <c r="J10" s="263"/>
      <c r="K10" s="263"/>
      <c r="L10" s="263"/>
      <c r="M10" s="263"/>
      <c r="N10" s="262"/>
      <c r="O10" s="262"/>
      <c r="P10" s="262"/>
      <c r="Q10" s="262"/>
      <c r="R10" s="263"/>
      <c r="S10" s="263"/>
      <c r="T10" s="263"/>
      <c r="U10" s="262"/>
      <c r="V10" s="262"/>
      <c r="W10" s="262"/>
      <c r="X10" s="262"/>
      <c r="Y10" s="262"/>
      <c r="Z10" s="262"/>
      <c r="AA10" s="262"/>
      <c r="AB10" s="262"/>
      <c r="AC10" s="262"/>
      <c r="AD10" s="262"/>
      <c r="AE10" s="123"/>
      <c r="AF10" s="123"/>
      <c r="AG10" s="262"/>
      <c r="AH10" s="262"/>
      <c r="AI10" s="262"/>
      <c r="AJ10" s="262"/>
      <c r="AK10" s="262"/>
      <c r="AL10" s="118"/>
      <c r="AM10" s="233"/>
      <c r="AN10" s="9"/>
      <c r="AO10" s="9"/>
      <c r="AP10" s="9"/>
      <c r="AQ10" s="118"/>
      <c r="AR10" s="118"/>
      <c r="AS10" s="118"/>
      <c r="AT10" s="118"/>
      <c r="AU10" s="118"/>
      <c r="AV10" s="118"/>
      <c r="AW10" s="118"/>
      <c r="AX10" s="118"/>
      <c r="AY10" s="118"/>
      <c r="AZ10" s="118"/>
      <c r="BA10" s="118"/>
      <c r="BC10" s="122"/>
    </row>
    <row r="11" spans="1:55" ht="15.75" customHeight="1">
      <c r="A11" s="785"/>
      <c r="B11" s="574"/>
      <c r="C11" s="361"/>
      <c r="D11" s="596"/>
      <c r="E11" s="134">
        <f t="shared" si="1"/>
        <v>0</v>
      </c>
      <c r="F11" s="262"/>
      <c r="G11" s="262"/>
      <c r="H11" s="262"/>
      <c r="I11" s="262"/>
      <c r="J11" s="263"/>
      <c r="K11" s="263"/>
      <c r="L11" s="263"/>
      <c r="M11" s="263"/>
      <c r="N11" s="262"/>
      <c r="O11" s="262"/>
      <c r="P11" s="262"/>
      <c r="Q11" s="262"/>
      <c r="R11" s="262"/>
      <c r="S11" s="262"/>
      <c r="T11" s="263"/>
      <c r="U11" s="262"/>
      <c r="V11" s="262"/>
      <c r="W11" s="262"/>
      <c r="X11" s="262"/>
      <c r="Y11" s="262"/>
      <c r="Z11" s="262"/>
      <c r="AA11" s="262"/>
      <c r="AB11" s="262"/>
      <c r="AC11" s="262"/>
      <c r="AD11" s="262"/>
      <c r="AE11" s="123"/>
      <c r="AF11" s="123"/>
      <c r="AG11" s="262"/>
      <c r="AH11" s="262"/>
      <c r="AI11" s="262"/>
      <c r="AJ11" s="262"/>
      <c r="AK11" s="262"/>
      <c r="AL11" s="118"/>
      <c r="AM11" s="233"/>
      <c r="AN11" s="9"/>
      <c r="AO11" s="9"/>
      <c r="AP11" s="9"/>
      <c r="AQ11" s="118"/>
      <c r="AR11" s="118"/>
      <c r="AS11" s="118"/>
      <c r="AT11" s="118"/>
      <c r="AU11" s="118"/>
      <c r="AV11" s="118"/>
      <c r="AW11" s="118"/>
      <c r="AX11" s="118"/>
      <c r="AY11" s="118"/>
      <c r="AZ11" s="118"/>
      <c r="BA11" s="118"/>
      <c r="BC11" s="122"/>
    </row>
    <row r="12" spans="1:55" ht="15.75" customHeight="1">
      <c r="A12" s="786" t="s">
        <v>472</v>
      </c>
      <c r="B12" s="575" t="s">
        <v>504</v>
      </c>
      <c r="C12" s="399"/>
      <c r="D12" s="596" t="s">
        <v>505</v>
      </c>
      <c r="E12" s="134">
        <f t="shared" si="1"/>
        <v>4</v>
      </c>
      <c r="F12" s="400"/>
      <c r="G12" s="400"/>
      <c r="H12" s="400" t="s">
        <v>482</v>
      </c>
      <c r="I12" s="400"/>
      <c r="J12" s="401"/>
      <c r="K12" s="401"/>
      <c r="L12" s="401"/>
      <c r="M12" s="401"/>
      <c r="N12" s="400" t="s">
        <v>482</v>
      </c>
      <c r="O12" s="400"/>
      <c r="P12" s="400"/>
      <c r="Q12" s="400"/>
      <c r="R12" s="400"/>
      <c r="S12" s="400"/>
      <c r="T12" s="400"/>
      <c r="U12" s="400" t="s">
        <v>482</v>
      </c>
      <c r="V12" s="400"/>
      <c r="W12" s="400"/>
      <c r="X12" s="400"/>
      <c r="Y12" s="400"/>
      <c r="Z12" s="400"/>
      <c r="AA12" s="400"/>
      <c r="AB12" s="400" t="s">
        <v>482</v>
      </c>
      <c r="AC12" s="400"/>
      <c r="AD12" s="400"/>
      <c r="AE12" s="401"/>
      <c r="AF12" s="401"/>
      <c r="AG12" s="400"/>
      <c r="AH12" s="400"/>
      <c r="AI12" s="400"/>
      <c r="AJ12" s="400"/>
      <c r="AK12" s="400"/>
      <c r="AL12" s="119"/>
      <c r="AM12" s="234"/>
      <c r="AN12" s="386"/>
      <c r="AO12" s="386"/>
      <c r="AP12" s="386"/>
      <c r="AQ12" s="119"/>
      <c r="AR12" s="119"/>
      <c r="AS12" s="119"/>
      <c r="AT12" s="119"/>
      <c r="AU12" s="119"/>
      <c r="AV12" s="119"/>
      <c r="AW12" s="119"/>
      <c r="AX12" s="119"/>
      <c r="AY12" s="119"/>
      <c r="AZ12" s="119"/>
      <c r="BA12" s="119"/>
      <c r="BC12" s="122"/>
    </row>
    <row r="13" spans="1:55" ht="15.75" customHeight="1">
      <c r="A13" s="786"/>
      <c r="B13" s="576" t="s">
        <v>524</v>
      </c>
      <c r="C13" s="361"/>
      <c r="D13" s="596" t="s">
        <v>525</v>
      </c>
      <c r="E13" s="134">
        <f t="shared" si="1"/>
        <v>5</v>
      </c>
      <c r="F13" s="262"/>
      <c r="G13" s="262" t="s">
        <v>482</v>
      </c>
      <c r="H13" s="262"/>
      <c r="I13" s="262"/>
      <c r="J13" s="262"/>
      <c r="K13" s="262" t="s">
        <v>482</v>
      </c>
      <c r="L13" s="262"/>
      <c r="M13" s="262"/>
      <c r="N13" s="262"/>
      <c r="O13" s="262"/>
      <c r="P13" s="262"/>
      <c r="Q13" s="262"/>
      <c r="R13" s="262"/>
      <c r="S13" s="262"/>
      <c r="T13" s="262"/>
      <c r="U13" s="262"/>
      <c r="V13" s="262"/>
      <c r="W13" s="262"/>
      <c r="X13" s="262"/>
      <c r="Y13" s="262"/>
      <c r="Z13" s="262"/>
      <c r="AA13" s="262"/>
      <c r="AB13" s="262"/>
      <c r="AC13" s="262" t="s">
        <v>482</v>
      </c>
      <c r="AD13" s="262" t="s">
        <v>482</v>
      </c>
      <c r="AE13" s="456"/>
      <c r="AF13" s="456"/>
      <c r="AG13" s="262"/>
      <c r="AH13" s="262"/>
      <c r="AI13" s="262"/>
      <c r="AJ13" s="262"/>
      <c r="AK13" s="262" t="s">
        <v>482</v>
      </c>
      <c r="AL13" s="456"/>
      <c r="AM13" s="457"/>
      <c r="AN13" s="386"/>
      <c r="AO13" s="386"/>
      <c r="AP13" s="386"/>
      <c r="AQ13" s="456"/>
      <c r="AR13" s="456"/>
      <c r="AS13" s="456"/>
      <c r="AT13" s="456"/>
      <c r="AU13" s="456"/>
      <c r="AV13" s="456"/>
      <c r="AW13" s="456"/>
      <c r="AX13" s="456"/>
      <c r="AY13" s="456"/>
      <c r="AZ13" s="456"/>
      <c r="BA13" s="456"/>
      <c r="BC13" s="122"/>
    </row>
    <row r="14" spans="1:55" ht="15.75" customHeight="1">
      <c r="A14" s="786"/>
      <c r="B14" s="576"/>
      <c r="C14" s="361"/>
      <c r="D14" s="596"/>
      <c r="E14" s="134">
        <f t="shared" si="1"/>
        <v>0</v>
      </c>
      <c r="F14" s="262"/>
      <c r="G14" s="262"/>
      <c r="H14" s="263"/>
      <c r="I14" s="263"/>
      <c r="J14" s="263"/>
      <c r="K14" s="263"/>
      <c r="L14" s="263"/>
      <c r="M14" s="263"/>
      <c r="N14" s="262"/>
      <c r="O14" s="262"/>
      <c r="P14" s="262"/>
      <c r="Q14" s="262"/>
      <c r="R14" s="263"/>
      <c r="S14" s="263"/>
      <c r="T14" s="263"/>
      <c r="U14" s="262"/>
      <c r="V14" s="262"/>
      <c r="W14" s="262"/>
      <c r="X14" s="262"/>
      <c r="Y14" s="262"/>
      <c r="Z14" s="262"/>
      <c r="AA14" s="262"/>
      <c r="AB14" s="262"/>
      <c r="AC14" s="262"/>
      <c r="AD14" s="262"/>
      <c r="AE14" s="123"/>
      <c r="AF14" s="123"/>
      <c r="AG14" s="262"/>
      <c r="AH14" s="262"/>
      <c r="AI14" s="262"/>
      <c r="AJ14" s="262"/>
      <c r="AK14" s="262"/>
      <c r="AL14" s="118"/>
      <c r="AM14" s="233"/>
      <c r="AN14" s="9"/>
      <c r="AO14" s="9"/>
      <c r="AP14" s="9"/>
      <c r="AQ14" s="118"/>
      <c r="AR14" s="118"/>
      <c r="AS14" s="118"/>
      <c r="AT14" s="118"/>
      <c r="AU14" s="118"/>
      <c r="AV14" s="118"/>
      <c r="AW14" s="118"/>
      <c r="AX14" s="118"/>
      <c r="AY14" s="118"/>
      <c r="AZ14" s="118"/>
      <c r="BA14" s="118"/>
      <c r="BC14" s="122"/>
    </row>
    <row r="15" spans="1:55" ht="15" customHeight="1">
      <c r="A15" s="786"/>
      <c r="B15" s="576"/>
      <c r="C15" s="361"/>
      <c r="D15" s="596"/>
      <c r="E15" s="134">
        <f t="shared" si="1"/>
        <v>0</v>
      </c>
      <c r="F15" s="262"/>
      <c r="G15" s="262"/>
      <c r="H15" s="263"/>
      <c r="I15" s="263"/>
      <c r="J15" s="263"/>
      <c r="K15" s="263"/>
      <c r="L15" s="263"/>
      <c r="M15" s="263"/>
      <c r="N15" s="262"/>
      <c r="O15" s="262"/>
      <c r="P15" s="262"/>
      <c r="Q15" s="262"/>
      <c r="R15" s="263"/>
      <c r="S15" s="263"/>
      <c r="T15" s="263"/>
      <c r="U15" s="262"/>
      <c r="V15" s="262"/>
      <c r="W15" s="262"/>
      <c r="X15" s="262"/>
      <c r="Y15" s="262"/>
      <c r="Z15" s="262"/>
      <c r="AA15" s="262"/>
      <c r="AB15" s="262"/>
      <c r="AC15" s="262"/>
      <c r="AD15" s="262"/>
      <c r="AE15" s="123"/>
      <c r="AF15" s="123"/>
      <c r="AG15" s="262"/>
      <c r="AH15" s="262"/>
      <c r="AI15" s="262"/>
      <c r="AJ15" s="262"/>
      <c r="AK15" s="262"/>
      <c r="AL15" s="118"/>
      <c r="AM15" s="233"/>
      <c r="AN15" s="9"/>
      <c r="AO15" s="9"/>
      <c r="AP15" s="9"/>
      <c r="AQ15" s="118"/>
      <c r="AR15" s="118"/>
      <c r="AS15" s="118"/>
      <c r="AT15" s="118"/>
      <c r="AU15" s="118"/>
      <c r="AV15" s="118"/>
      <c r="AW15" s="118"/>
      <c r="AX15" s="118"/>
      <c r="AY15" s="118"/>
      <c r="AZ15" s="118"/>
      <c r="BA15" s="118"/>
      <c r="BC15" s="122"/>
    </row>
    <row r="16" spans="1:55" ht="15.75" customHeight="1">
      <c r="A16" s="786"/>
      <c r="B16" s="576"/>
      <c r="C16" s="361"/>
      <c r="D16" s="596"/>
      <c r="E16" s="134">
        <f t="shared" si="1"/>
        <v>0</v>
      </c>
      <c r="F16" s="262"/>
      <c r="G16" s="262"/>
      <c r="H16" s="263"/>
      <c r="I16" s="263"/>
      <c r="J16" s="263"/>
      <c r="K16" s="263"/>
      <c r="L16" s="263"/>
      <c r="M16" s="263"/>
      <c r="N16" s="262"/>
      <c r="O16" s="262"/>
      <c r="P16" s="262"/>
      <c r="Q16" s="262"/>
      <c r="R16" s="263"/>
      <c r="S16" s="263"/>
      <c r="T16" s="263"/>
      <c r="U16" s="262"/>
      <c r="V16" s="262"/>
      <c r="W16" s="262"/>
      <c r="X16" s="262"/>
      <c r="Y16" s="262"/>
      <c r="Z16" s="262"/>
      <c r="AA16" s="262"/>
      <c r="AB16" s="262"/>
      <c r="AC16" s="262"/>
      <c r="AD16" s="262"/>
      <c r="AE16" s="123"/>
      <c r="AF16" s="123"/>
      <c r="AG16" s="262"/>
      <c r="AH16" s="262"/>
      <c r="AI16" s="262"/>
      <c r="AJ16" s="262"/>
      <c r="AK16" s="262"/>
      <c r="AL16" s="118"/>
      <c r="AM16" s="233"/>
      <c r="AN16" s="9"/>
      <c r="AO16" s="9"/>
      <c r="AP16" s="9"/>
      <c r="AQ16" s="118"/>
      <c r="AR16" s="118"/>
      <c r="AS16" s="118"/>
      <c r="AT16" s="118"/>
      <c r="AU16" s="118"/>
      <c r="AV16" s="118"/>
      <c r="AW16" s="118"/>
      <c r="AX16" s="118"/>
      <c r="AY16" s="118"/>
      <c r="AZ16" s="118"/>
      <c r="BA16" s="118"/>
      <c r="BC16" s="122"/>
    </row>
    <row r="17" spans="1:55" ht="15.75" customHeight="1">
      <c r="A17" s="786"/>
      <c r="B17" s="576"/>
      <c r="C17" s="361"/>
      <c r="D17" s="597"/>
      <c r="E17" s="134">
        <f t="shared" si="1"/>
        <v>0</v>
      </c>
      <c r="F17" s="262"/>
      <c r="G17" s="262"/>
      <c r="H17" s="263"/>
      <c r="I17" s="263"/>
      <c r="J17" s="263"/>
      <c r="K17" s="263"/>
      <c r="L17" s="263"/>
      <c r="M17" s="263"/>
      <c r="N17" s="262"/>
      <c r="O17" s="262"/>
      <c r="P17" s="262"/>
      <c r="Q17" s="262"/>
      <c r="R17" s="263"/>
      <c r="S17" s="263"/>
      <c r="T17" s="263"/>
      <c r="U17" s="262"/>
      <c r="V17" s="262"/>
      <c r="W17" s="262"/>
      <c r="X17" s="262"/>
      <c r="Y17" s="262"/>
      <c r="Z17" s="262"/>
      <c r="AA17" s="262"/>
      <c r="AB17" s="262"/>
      <c r="AC17" s="262"/>
      <c r="AD17" s="262"/>
      <c r="AE17" s="123"/>
      <c r="AF17" s="123"/>
      <c r="AG17" s="262"/>
      <c r="AH17" s="262"/>
      <c r="AI17" s="262"/>
      <c r="AJ17" s="262"/>
      <c r="AK17" s="262"/>
      <c r="AL17" s="118"/>
      <c r="AM17" s="233"/>
      <c r="AN17" s="9"/>
      <c r="AO17" s="9"/>
      <c r="AP17" s="9"/>
      <c r="AQ17" s="118"/>
      <c r="AR17" s="118"/>
      <c r="AS17" s="118"/>
      <c r="AT17" s="118"/>
      <c r="AU17" s="118"/>
      <c r="AV17" s="118"/>
      <c r="AW17" s="118"/>
      <c r="AX17" s="118"/>
      <c r="AY17" s="118"/>
      <c r="AZ17" s="118"/>
      <c r="BA17" s="118"/>
      <c r="BC17" s="122"/>
    </row>
    <row r="18" spans="1:55" ht="15.75" customHeight="1">
      <c r="A18" s="786"/>
      <c r="B18" s="576"/>
      <c r="C18" s="361"/>
      <c r="D18" s="596"/>
      <c r="E18" s="134">
        <f t="shared" si="1"/>
        <v>0</v>
      </c>
      <c r="F18" s="262"/>
      <c r="G18" s="262"/>
      <c r="H18" s="263"/>
      <c r="I18" s="263"/>
      <c r="J18" s="263"/>
      <c r="K18" s="263"/>
      <c r="L18" s="263"/>
      <c r="M18" s="263"/>
      <c r="N18" s="262"/>
      <c r="O18" s="262"/>
      <c r="P18" s="262"/>
      <c r="Q18" s="262"/>
      <c r="R18" s="263"/>
      <c r="S18" s="263"/>
      <c r="T18" s="263"/>
      <c r="U18" s="262"/>
      <c r="V18" s="262"/>
      <c r="W18" s="262"/>
      <c r="X18" s="262"/>
      <c r="Y18" s="262"/>
      <c r="Z18" s="262"/>
      <c r="AA18" s="262"/>
      <c r="AB18" s="262"/>
      <c r="AC18" s="262"/>
      <c r="AD18" s="262"/>
      <c r="AE18" s="123"/>
      <c r="AF18" s="123"/>
      <c r="AG18" s="262"/>
      <c r="AH18" s="262"/>
      <c r="AI18" s="262"/>
      <c r="AJ18" s="262"/>
      <c r="AK18" s="262"/>
      <c r="AL18" s="118"/>
      <c r="AM18" s="233"/>
      <c r="AN18" s="9"/>
      <c r="AO18" s="9"/>
      <c r="AP18" s="9"/>
      <c r="AQ18" s="118"/>
      <c r="AR18" s="118"/>
      <c r="AS18" s="118"/>
      <c r="AT18" s="118"/>
      <c r="AU18" s="118"/>
      <c r="AV18" s="118"/>
      <c r="AW18" s="118"/>
      <c r="AX18" s="118"/>
      <c r="AY18" s="118"/>
      <c r="AZ18" s="118"/>
      <c r="BA18" s="118"/>
      <c r="BC18" s="122"/>
    </row>
    <row r="19" spans="1:55" ht="15.75" customHeight="1">
      <c r="A19" s="787"/>
      <c r="B19" s="576"/>
      <c r="C19" s="361"/>
      <c r="D19" s="596"/>
      <c r="E19" s="134">
        <f t="shared" si="1"/>
        <v>0</v>
      </c>
      <c r="F19" s="262"/>
      <c r="G19" s="262"/>
      <c r="H19" s="262"/>
      <c r="I19" s="262"/>
      <c r="J19" s="263"/>
      <c r="K19" s="263"/>
      <c r="L19" s="263"/>
      <c r="M19" s="263"/>
      <c r="N19" s="262"/>
      <c r="O19" s="262"/>
      <c r="P19" s="262"/>
      <c r="Q19" s="262"/>
      <c r="R19" s="262"/>
      <c r="S19" s="262"/>
      <c r="T19" s="262"/>
      <c r="U19" s="262"/>
      <c r="V19" s="262"/>
      <c r="W19" s="262"/>
      <c r="X19" s="262"/>
      <c r="Y19" s="262"/>
      <c r="Z19" s="262"/>
      <c r="AA19" s="262"/>
      <c r="AB19" s="262"/>
      <c r="AC19" s="262"/>
      <c r="AD19" s="262"/>
      <c r="AE19" s="123"/>
      <c r="AF19" s="123"/>
      <c r="AG19" s="262"/>
      <c r="AH19" s="262"/>
      <c r="AI19" s="262"/>
      <c r="AJ19" s="262"/>
      <c r="AK19" s="262"/>
      <c r="AL19" s="118"/>
      <c r="AM19" s="233"/>
      <c r="AN19" s="9"/>
      <c r="AO19" s="9"/>
      <c r="AP19" s="9"/>
      <c r="AQ19" s="118"/>
      <c r="AR19" s="118"/>
      <c r="AS19" s="118"/>
      <c r="AT19" s="118"/>
      <c r="AU19" s="118"/>
      <c r="AV19" s="118"/>
      <c r="AW19" s="118"/>
      <c r="AX19" s="118"/>
      <c r="AY19" s="118"/>
      <c r="AZ19" s="118"/>
      <c r="BA19" s="118"/>
      <c r="BC19" s="122"/>
    </row>
    <row r="20" spans="1:55" ht="15.75" customHeight="1">
      <c r="A20" s="785" t="s">
        <v>473</v>
      </c>
      <c r="B20" s="571" t="s">
        <v>640</v>
      </c>
      <c r="C20" s="361"/>
      <c r="D20" s="598" t="s">
        <v>641</v>
      </c>
      <c r="E20" s="134">
        <f t="shared" si="1"/>
        <v>4</v>
      </c>
      <c r="F20" s="382"/>
      <c r="G20" s="382"/>
      <c r="H20" s="382"/>
      <c r="I20" s="382"/>
      <c r="J20" s="383"/>
      <c r="K20" s="383" t="s">
        <v>482</v>
      </c>
      <c r="L20" s="383"/>
      <c r="M20" s="383"/>
      <c r="N20" s="382"/>
      <c r="O20" s="382" t="s">
        <v>482</v>
      </c>
      <c r="P20" s="382"/>
      <c r="Q20" s="382"/>
      <c r="R20" s="382"/>
      <c r="S20" s="382" t="s">
        <v>482</v>
      </c>
      <c r="T20" s="382"/>
      <c r="U20" s="382"/>
      <c r="V20" s="382"/>
      <c r="W20" s="382"/>
      <c r="X20" s="382"/>
      <c r="Y20" s="382" t="s">
        <v>482</v>
      </c>
      <c r="Z20" s="382"/>
      <c r="AA20" s="382"/>
      <c r="AB20" s="382"/>
      <c r="AC20" s="382"/>
      <c r="AD20" s="382"/>
      <c r="AE20" s="401"/>
      <c r="AF20" s="401"/>
      <c r="AG20" s="382"/>
      <c r="AH20" s="382"/>
      <c r="AI20" s="382"/>
      <c r="AJ20" s="382"/>
      <c r="AK20" s="382"/>
      <c r="AL20" s="400"/>
      <c r="AM20" s="234"/>
      <c r="AN20" s="386"/>
      <c r="AO20" s="386"/>
      <c r="AP20" s="386"/>
      <c r="AQ20" s="400"/>
      <c r="AR20" s="399"/>
      <c r="AS20" s="399"/>
      <c r="AT20" s="399"/>
      <c r="AU20" s="399"/>
      <c r="AV20" s="399"/>
      <c r="AW20" s="399"/>
      <c r="AX20" s="399"/>
      <c r="AY20" s="399"/>
      <c r="AZ20" s="399"/>
      <c r="BA20" s="399"/>
      <c r="BC20" s="122"/>
    </row>
    <row r="21" spans="1:55" ht="15.75" customHeight="1">
      <c r="A21" s="785"/>
      <c r="B21" s="571" t="s">
        <v>676</v>
      </c>
      <c r="C21" s="399"/>
      <c r="D21" s="596" t="s">
        <v>677</v>
      </c>
      <c r="E21" s="134">
        <f t="shared" si="1"/>
        <v>4</v>
      </c>
      <c r="F21" s="382" t="s">
        <v>482</v>
      </c>
      <c r="G21" s="382" t="s">
        <v>482</v>
      </c>
      <c r="H21" s="382"/>
      <c r="I21" s="382"/>
      <c r="J21" s="383"/>
      <c r="K21" s="383"/>
      <c r="L21" s="383"/>
      <c r="M21" s="383" t="s">
        <v>482</v>
      </c>
      <c r="N21" s="382"/>
      <c r="O21" s="382"/>
      <c r="P21" s="382"/>
      <c r="Q21" s="382" t="s">
        <v>482</v>
      </c>
      <c r="R21" s="382"/>
      <c r="S21" s="382"/>
      <c r="T21" s="382"/>
      <c r="U21" s="382"/>
      <c r="V21" s="382"/>
      <c r="W21" s="382"/>
      <c r="X21" s="382"/>
      <c r="Y21" s="382"/>
      <c r="Z21" s="382"/>
      <c r="AA21" s="382"/>
      <c r="AB21" s="382"/>
      <c r="AC21" s="382"/>
      <c r="AD21" s="382"/>
      <c r="AE21" s="401"/>
      <c r="AF21" s="401"/>
      <c r="AG21" s="382"/>
      <c r="AH21" s="382"/>
      <c r="AI21" s="382"/>
      <c r="AJ21" s="382"/>
      <c r="AK21" s="382"/>
      <c r="AL21" s="400"/>
      <c r="AM21" s="234"/>
      <c r="AN21" s="386"/>
      <c r="AO21" s="386"/>
      <c r="AP21" s="386"/>
      <c r="AQ21" s="400"/>
      <c r="AR21" s="400"/>
      <c r="AS21" s="400"/>
      <c r="AT21" s="400"/>
      <c r="AU21" s="400"/>
      <c r="AV21" s="400"/>
      <c r="AW21" s="400"/>
      <c r="AX21" s="400"/>
      <c r="AY21" s="400"/>
      <c r="AZ21" s="400"/>
      <c r="BA21" s="400"/>
      <c r="BC21" s="122"/>
    </row>
    <row r="22" spans="1:55" ht="15.75" customHeight="1">
      <c r="A22" s="785"/>
      <c r="B22" s="571" t="s">
        <v>755</v>
      </c>
      <c r="C22" s="361"/>
      <c r="D22" s="598" t="s">
        <v>756</v>
      </c>
      <c r="E22" s="134">
        <f t="shared" si="1"/>
        <v>4</v>
      </c>
      <c r="F22" s="400"/>
      <c r="G22" s="400"/>
      <c r="H22" s="400"/>
      <c r="I22" s="400"/>
      <c r="J22" s="401"/>
      <c r="K22" s="401"/>
      <c r="L22" s="401"/>
      <c r="M22" s="401" t="s">
        <v>482</v>
      </c>
      <c r="N22" s="400"/>
      <c r="O22" s="400"/>
      <c r="P22" s="400"/>
      <c r="Q22" s="400" t="s">
        <v>482</v>
      </c>
      <c r="R22" s="400"/>
      <c r="S22" s="400"/>
      <c r="T22" s="400"/>
      <c r="U22" s="400"/>
      <c r="V22" s="400" t="s">
        <v>482</v>
      </c>
      <c r="W22" s="400"/>
      <c r="X22" s="400"/>
      <c r="Y22" s="400"/>
      <c r="Z22" s="400" t="s">
        <v>482</v>
      </c>
      <c r="AA22" s="400"/>
      <c r="AB22" s="400"/>
      <c r="AC22" s="400"/>
      <c r="AD22" s="400"/>
      <c r="AE22" s="401"/>
      <c r="AF22" s="401"/>
      <c r="AG22" s="400"/>
      <c r="AH22" s="400"/>
      <c r="AI22" s="400"/>
      <c r="AJ22" s="400"/>
      <c r="AK22" s="400"/>
      <c r="AL22" s="399"/>
      <c r="AM22" s="233"/>
      <c r="AN22" s="386"/>
      <c r="AO22" s="386"/>
      <c r="AP22" s="386"/>
      <c r="AQ22" s="399"/>
      <c r="AR22" s="399"/>
      <c r="AS22" s="399"/>
      <c r="AT22" s="399"/>
      <c r="AU22" s="399"/>
      <c r="AV22" s="399"/>
      <c r="AW22" s="399"/>
      <c r="AX22" s="399"/>
      <c r="AY22" s="399"/>
      <c r="AZ22" s="399"/>
      <c r="BA22" s="399"/>
      <c r="BC22" s="122"/>
    </row>
    <row r="23" spans="1:55" ht="15.75" customHeight="1">
      <c r="A23" s="785"/>
      <c r="B23" s="571"/>
      <c r="C23" s="361"/>
      <c r="D23" s="598"/>
      <c r="E23" s="134">
        <f t="shared" si="1"/>
        <v>0</v>
      </c>
      <c r="F23" s="119"/>
      <c r="G23" s="119"/>
      <c r="H23" s="119"/>
      <c r="I23" s="119"/>
      <c r="J23" s="260"/>
      <c r="K23" s="260"/>
      <c r="L23" s="260"/>
      <c r="M23" s="260"/>
      <c r="N23" s="119"/>
      <c r="O23" s="119"/>
      <c r="P23" s="119"/>
      <c r="Q23" s="119"/>
      <c r="R23" s="119"/>
      <c r="S23" s="119"/>
      <c r="T23" s="119"/>
      <c r="U23" s="119"/>
      <c r="V23" s="119"/>
      <c r="W23" s="119"/>
      <c r="X23" s="119"/>
      <c r="Y23" s="119"/>
      <c r="Z23" s="119"/>
      <c r="AA23" s="119"/>
      <c r="AB23" s="119"/>
      <c r="AC23" s="119"/>
      <c r="AD23" s="119"/>
      <c r="AE23" s="260"/>
      <c r="AF23" s="260"/>
      <c r="AG23" s="119"/>
      <c r="AH23" s="119"/>
      <c r="AI23" s="119"/>
      <c r="AJ23" s="119"/>
      <c r="AK23" s="119"/>
      <c r="AL23" s="118"/>
      <c r="AM23" s="233"/>
      <c r="AN23" s="386"/>
      <c r="AO23" s="386"/>
      <c r="AP23" s="386"/>
      <c r="AQ23" s="118"/>
      <c r="AR23" s="118"/>
      <c r="AS23" s="118"/>
      <c r="AT23" s="118"/>
      <c r="AU23" s="118"/>
      <c r="AV23" s="118"/>
      <c r="AW23" s="118"/>
      <c r="AX23" s="118"/>
      <c r="AY23" s="118"/>
      <c r="AZ23" s="118"/>
      <c r="BA23" s="118"/>
      <c r="BC23" s="122"/>
    </row>
    <row r="24" spans="1:55" ht="15.75" customHeight="1">
      <c r="A24" s="785"/>
      <c r="B24" s="577"/>
      <c r="C24" s="118"/>
      <c r="D24" s="596"/>
      <c r="E24" s="134">
        <f t="shared" si="1"/>
        <v>0</v>
      </c>
      <c r="F24" s="262"/>
      <c r="G24" s="262"/>
      <c r="H24" s="263"/>
      <c r="I24" s="263"/>
      <c r="J24" s="263"/>
      <c r="K24" s="263"/>
      <c r="L24" s="263"/>
      <c r="M24" s="263"/>
      <c r="N24" s="262"/>
      <c r="O24" s="263"/>
      <c r="P24" s="262"/>
      <c r="Q24" s="262"/>
      <c r="R24" s="263"/>
      <c r="S24" s="262"/>
      <c r="T24" s="262"/>
      <c r="U24" s="262"/>
      <c r="V24" s="262"/>
      <c r="W24" s="262"/>
      <c r="X24" s="262"/>
      <c r="Y24" s="262"/>
      <c r="Z24" s="262"/>
      <c r="AA24" s="262"/>
      <c r="AB24" s="262"/>
      <c r="AC24" s="262"/>
      <c r="AD24" s="262"/>
      <c r="AE24" s="123"/>
      <c r="AF24" s="123"/>
      <c r="AG24" s="262"/>
      <c r="AH24" s="262"/>
      <c r="AI24" s="262"/>
      <c r="AJ24" s="262"/>
      <c r="AK24" s="262"/>
      <c r="AL24" s="118"/>
      <c r="AM24" s="233"/>
      <c r="AN24" s="9"/>
      <c r="AO24" s="9"/>
      <c r="AP24" s="9"/>
      <c r="AQ24" s="118"/>
      <c r="AR24" s="118"/>
      <c r="AS24" s="118"/>
      <c r="AT24" s="118"/>
      <c r="AU24" s="118"/>
      <c r="AV24" s="118"/>
      <c r="AW24" s="118"/>
      <c r="AX24" s="118"/>
      <c r="AY24" s="118"/>
      <c r="AZ24" s="118"/>
      <c r="BA24" s="118"/>
      <c r="BC24" s="122"/>
    </row>
    <row r="25" spans="1:55" ht="15.75" customHeight="1">
      <c r="A25" s="785"/>
      <c r="B25" s="577"/>
      <c r="C25" s="361"/>
      <c r="D25" s="596"/>
      <c r="E25" s="134">
        <f t="shared" si="1"/>
        <v>0</v>
      </c>
      <c r="F25" s="262"/>
      <c r="G25" s="262"/>
      <c r="H25" s="263"/>
      <c r="I25" s="263"/>
      <c r="J25" s="263"/>
      <c r="K25" s="263"/>
      <c r="L25" s="263"/>
      <c r="M25" s="263"/>
      <c r="N25" s="262"/>
      <c r="O25" s="263"/>
      <c r="P25" s="262"/>
      <c r="Q25" s="262"/>
      <c r="R25" s="263"/>
      <c r="S25" s="262"/>
      <c r="T25" s="262"/>
      <c r="U25" s="262"/>
      <c r="V25" s="262"/>
      <c r="W25" s="262"/>
      <c r="X25" s="262"/>
      <c r="Y25" s="262"/>
      <c r="Z25" s="262"/>
      <c r="AA25" s="262"/>
      <c r="AB25" s="262"/>
      <c r="AC25" s="262"/>
      <c r="AD25" s="262"/>
      <c r="AE25" s="123"/>
      <c r="AF25" s="123"/>
      <c r="AG25" s="262"/>
      <c r="AH25" s="262"/>
      <c r="AI25" s="262"/>
      <c r="AJ25" s="262"/>
      <c r="AK25" s="262"/>
      <c r="AL25" s="118"/>
      <c r="AM25" s="233"/>
      <c r="AN25" s="9"/>
      <c r="AO25" s="9"/>
      <c r="AP25" s="9"/>
      <c r="AQ25" s="118"/>
      <c r="AR25" s="118"/>
      <c r="AS25" s="118"/>
      <c r="AT25" s="118"/>
      <c r="AU25" s="118"/>
      <c r="AV25" s="118"/>
      <c r="AW25" s="118"/>
      <c r="AX25" s="118"/>
      <c r="AY25" s="118"/>
      <c r="AZ25" s="118"/>
      <c r="BA25" s="118"/>
      <c r="BC25" s="122"/>
    </row>
    <row r="26" spans="1:55" ht="15.75" customHeight="1">
      <c r="A26" s="785"/>
      <c r="B26" s="577"/>
      <c r="C26" s="361"/>
      <c r="D26" s="596"/>
      <c r="E26" s="134">
        <f t="shared" si="1"/>
        <v>0</v>
      </c>
      <c r="F26" s="262"/>
      <c r="G26" s="262"/>
      <c r="H26" s="263"/>
      <c r="I26" s="263"/>
      <c r="J26" s="263"/>
      <c r="K26" s="263"/>
      <c r="L26" s="263"/>
      <c r="M26" s="263"/>
      <c r="N26" s="262"/>
      <c r="O26" s="263"/>
      <c r="P26" s="262"/>
      <c r="Q26" s="262"/>
      <c r="R26" s="263"/>
      <c r="S26" s="262"/>
      <c r="T26" s="262"/>
      <c r="U26" s="262"/>
      <c r="V26" s="262"/>
      <c r="W26" s="262"/>
      <c r="X26" s="262"/>
      <c r="Y26" s="262"/>
      <c r="Z26" s="262"/>
      <c r="AA26" s="262"/>
      <c r="AB26" s="262"/>
      <c r="AC26" s="262"/>
      <c r="AD26" s="262"/>
      <c r="AE26" s="123"/>
      <c r="AF26" s="123"/>
      <c r="AG26" s="262"/>
      <c r="AH26" s="262"/>
      <c r="AI26" s="262"/>
      <c r="AJ26" s="262"/>
      <c r="AK26" s="262"/>
      <c r="AL26" s="118"/>
      <c r="AM26" s="233"/>
      <c r="AN26" s="9"/>
      <c r="AO26" s="9"/>
      <c r="AP26" s="9"/>
      <c r="AQ26" s="118"/>
      <c r="AR26" s="118"/>
      <c r="AS26" s="118"/>
      <c r="AT26" s="118"/>
      <c r="AU26" s="118"/>
      <c r="AV26" s="118"/>
      <c r="AW26" s="118"/>
      <c r="AX26" s="118"/>
      <c r="AY26" s="118"/>
      <c r="AZ26" s="118"/>
      <c r="BA26" s="118"/>
      <c r="BC26" s="122"/>
    </row>
    <row r="27" spans="1:55" ht="15.75" customHeight="1">
      <c r="A27" s="788"/>
      <c r="B27" s="577"/>
      <c r="C27" s="361"/>
      <c r="D27" s="596"/>
      <c r="E27" s="134">
        <f t="shared" si="1"/>
        <v>0</v>
      </c>
      <c r="F27" s="262"/>
      <c r="G27" s="262"/>
      <c r="H27" s="262"/>
      <c r="I27" s="262"/>
      <c r="J27" s="263"/>
      <c r="K27" s="263"/>
      <c r="L27" s="263"/>
      <c r="M27" s="263"/>
      <c r="N27" s="262"/>
      <c r="O27" s="262"/>
      <c r="P27" s="262"/>
      <c r="Q27" s="262"/>
      <c r="R27" s="262"/>
      <c r="S27" s="262"/>
      <c r="T27" s="262"/>
      <c r="U27" s="262"/>
      <c r="V27" s="262"/>
      <c r="W27" s="262"/>
      <c r="X27" s="262"/>
      <c r="Y27" s="262"/>
      <c r="Z27" s="262"/>
      <c r="AA27" s="262"/>
      <c r="AB27" s="262"/>
      <c r="AC27" s="262"/>
      <c r="AD27" s="262"/>
      <c r="AE27" s="123"/>
      <c r="AF27" s="123"/>
      <c r="AG27" s="262"/>
      <c r="AH27" s="262"/>
      <c r="AI27" s="262"/>
      <c r="AJ27" s="262"/>
      <c r="AK27" s="262"/>
      <c r="AL27" s="118"/>
      <c r="AM27" s="233"/>
      <c r="AN27" s="9"/>
      <c r="AO27" s="9"/>
      <c r="AP27" s="9"/>
      <c r="AQ27" s="118"/>
      <c r="AR27" s="118"/>
      <c r="AS27" s="118"/>
      <c r="AT27" s="118"/>
      <c r="AU27" s="118"/>
      <c r="AV27" s="118"/>
      <c r="AW27" s="118"/>
      <c r="AX27" s="118"/>
      <c r="AY27" s="118"/>
      <c r="AZ27" s="118"/>
      <c r="BA27" s="118"/>
      <c r="BC27" s="122"/>
    </row>
    <row r="28" spans="1:55" ht="15.75" customHeight="1">
      <c r="A28" s="786" t="s">
        <v>474</v>
      </c>
      <c r="B28" s="578" t="s">
        <v>661</v>
      </c>
      <c r="C28" s="361"/>
      <c r="D28" s="596" t="s">
        <v>662</v>
      </c>
      <c r="E28" s="134">
        <f t="shared" si="1"/>
        <v>4</v>
      </c>
      <c r="F28" s="384"/>
      <c r="G28" s="384"/>
      <c r="H28" s="384"/>
      <c r="I28" s="384"/>
      <c r="J28" s="384"/>
      <c r="K28" s="384"/>
      <c r="L28" s="384"/>
      <c r="M28" s="384"/>
      <c r="N28" s="384"/>
      <c r="O28" s="384"/>
      <c r="P28" s="384"/>
      <c r="Q28" s="384"/>
      <c r="R28" s="384"/>
      <c r="S28" s="384"/>
      <c r="T28" s="384" t="s">
        <v>482</v>
      </c>
      <c r="U28" s="384"/>
      <c r="V28" s="384"/>
      <c r="W28" s="384"/>
      <c r="X28" s="384"/>
      <c r="Y28" s="384" t="s">
        <v>482</v>
      </c>
      <c r="Z28" s="384"/>
      <c r="AA28" s="384"/>
      <c r="AB28" s="384"/>
      <c r="AC28" s="384" t="s">
        <v>482</v>
      </c>
      <c r="AD28" s="384"/>
      <c r="AE28" s="381"/>
      <c r="AF28" s="381" t="s">
        <v>482</v>
      </c>
      <c r="AG28" s="384"/>
      <c r="AH28" s="384"/>
      <c r="AI28" s="384"/>
      <c r="AJ28" s="384"/>
      <c r="AK28" s="384"/>
      <c r="AL28" s="381"/>
      <c r="AM28" s="387"/>
      <c r="AN28" s="388"/>
      <c r="AO28" s="388"/>
      <c r="AP28" s="388"/>
      <c r="AQ28" s="381"/>
      <c r="AR28" s="381"/>
      <c r="AS28" s="381"/>
      <c r="AT28" s="381"/>
      <c r="AU28" s="381"/>
      <c r="AV28" s="381"/>
      <c r="AW28" s="381"/>
      <c r="AX28" s="381"/>
      <c r="AY28" s="381"/>
      <c r="AZ28" s="381"/>
      <c r="BA28" s="381"/>
      <c r="BC28" s="122"/>
    </row>
    <row r="29" spans="1:55" ht="15.75" customHeight="1">
      <c r="A29" s="786"/>
      <c r="B29" s="575" t="s">
        <v>883</v>
      </c>
      <c r="C29" s="361"/>
      <c r="D29" s="596" t="s">
        <v>884</v>
      </c>
      <c r="E29" s="134">
        <f t="shared" si="1"/>
        <v>3</v>
      </c>
      <c r="F29" s="382"/>
      <c r="G29" s="382"/>
      <c r="H29" s="382"/>
      <c r="I29" s="382"/>
      <c r="J29" s="383"/>
      <c r="K29" s="383"/>
      <c r="L29" s="383"/>
      <c r="M29" s="383"/>
      <c r="N29" s="382"/>
      <c r="O29" s="382"/>
      <c r="P29" s="382"/>
      <c r="Q29" s="382"/>
      <c r="R29" s="382"/>
      <c r="S29" s="382"/>
      <c r="T29" s="382" t="s">
        <v>482</v>
      </c>
      <c r="U29" s="382" t="s">
        <v>482</v>
      </c>
      <c r="V29" s="382"/>
      <c r="W29" s="382"/>
      <c r="X29" s="382"/>
      <c r="Y29" s="382"/>
      <c r="Z29" s="382" t="s">
        <v>482</v>
      </c>
      <c r="AA29" s="382"/>
      <c r="AB29" s="382"/>
      <c r="AC29" s="382"/>
      <c r="AD29" s="382"/>
      <c r="AE29" s="401"/>
      <c r="AF29" s="401"/>
      <c r="AG29" s="400"/>
      <c r="AH29" s="400"/>
      <c r="AI29" s="400"/>
      <c r="AJ29" s="400"/>
      <c r="AK29" s="400"/>
      <c r="AL29" s="399"/>
      <c r="AM29" s="233"/>
      <c r="AN29" s="386"/>
      <c r="AO29" s="386"/>
      <c r="AP29" s="386"/>
      <c r="AQ29" s="399"/>
      <c r="AR29" s="399"/>
      <c r="AS29" s="399"/>
      <c r="AT29" s="399"/>
      <c r="AU29" s="399"/>
      <c r="AV29" s="399"/>
      <c r="AW29" s="399"/>
      <c r="AX29" s="399"/>
      <c r="AY29" s="399"/>
      <c r="AZ29" s="399"/>
      <c r="BA29" s="399"/>
      <c r="BC29" s="122"/>
    </row>
    <row r="30" spans="1:55" ht="15.75">
      <c r="A30" s="786"/>
      <c r="B30" s="578" t="s">
        <v>942</v>
      </c>
      <c r="C30" s="361"/>
      <c r="D30" s="598" t="s">
        <v>918</v>
      </c>
      <c r="E30" s="134">
        <f t="shared" si="1"/>
        <v>4</v>
      </c>
      <c r="F30" s="262"/>
      <c r="G30" s="262"/>
      <c r="H30" s="262"/>
      <c r="I30" s="262"/>
      <c r="J30" s="263"/>
      <c r="K30" s="263"/>
      <c r="L30" s="263"/>
      <c r="M30" s="263"/>
      <c r="N30" s="262"/>
      <c r="O30" s="263" t="s">
        <v>482</v>
      </c>
      <c r="P30" s="262"/>
      <c r="Q30" s="262"/>
      <c r="R30" s="263"/>
      <c r="S30" s="262"/>
      <c r="T30" s="262" t="s">
        <v>482</v>
      </c>
      <c r="U30" s="262"/>
      <c r="V30" s="263"/>
      <c r="W30" s="262"/>
      <c r="X30" s="262"/>
      <c r="Y30" s="262" t="s">
        <v>482</v>
      </c>
      <c r="Z30" s="262"/>
      <c r="AA30" s="262"/>
      <c r="AB30" s="263"/>
      <c r="AC30" s="262"/>
      <c r="AD30" s="262" t="s">
        <v>482</v>
      </c>
      <c r="AE30" s="123"/>
      <c r="AF30" s="123"/>
      <c r="AG30" s="262"/>
      <c r="AH30" s="262"/>
      <c r="AI30" s="262"/>
      <c r="AJ30" s="262"/>
      <c r="AK30" s="262"/>
      <c r="AL30" s="399"/>
      <c r="AM30" s="233"/>
      <c r="AN30" s="386"/>
      <c r="AO30" s="386"/>
      <c r="AP30" s="386"/>
      <c r="AQ30" s="399"/>
      <c r="AR30" s="399"/>
      <c r="AS30" s="399"/>
      <c r="AT30" s="399"/>
      <c r="AU30" s="399"/>
      <c r="AV30" s="399"/>
      <c r="AW30" s="399"/>
      <c r="AX30" s="399"/>
      <c r="AY30" s="399"/>
      <c r="AZ30" s="399"/>
      <c r="BA30" s="399"/>
      <c r="BC30" s="122"/>
    </row>
    <row r="31" spans="1:55" ht="15.75" customHeight="1">
      <c r="A31" s="786"/>
      <c r="B31" s="578" t="s">
        <v>941</v>
      </c>
      <c r="C31" s="361"/>
      <c r="D31" s="598" t="s">
        <v>943</v>
      </c>
      <c r="E31" s="134">
        <f t="shared" si="1"/>
        <v>3</v>
      </c>
      <c r="F31" s="262"/>
      <c r="G31" s="262"/>
      <c r="H31" s="262"/>
      <c r="I31" s="262"/>
      <c r="J31" s="263"/>
      <c r="K31" s="263" t="s">
        <v>482</v>
      </c>
      <c r="L31" s="263"/>
      <c r="M31" s="263"/>
      <c r="N31" s="262"/>
      <c r="O31" s="263"/>
      <c r="P31" s="262"/>
      <c r="Q31" s="262"/>
      <c r="R31" s="263"/>
      <c r="S31" s="262"/>
      <c r="T31" s="262"/>
      <c r="U31" s="262"/>
      <c r="V31" s="263"/>
      <c r="W31" s="262"/>
      <c r="X31" s="262"/>
      <c r="Y31" s="262"/>
      <c r="Z31" s="262"/>
      <c r="AA31" s="262"/>
      <c r="AB31" s="263"/>
      <c r="AC31" s="262" t="s">
        <v>482</v>
      </c>
      <c r="AD31" s="262" t="s">
        <v>482</v>
      </c>
      <c r="AE31" s="123"/>
      <c r="AF31" s="123"/>
      <c r="AG31" s="262"/>
      <c r="AH31" s="262"/>
      <c r="AI31" s="262"/>
      <c r="AJ31" s="262"/>
      <c r="AK31" s="262"/>
      <c r="AL31" s="399"/>
      <c r="AM31" s="233"/>
      <c r="AN31" s="386"/>
      <c r="AO31" s="386"/>
      <c r="AP31" s="386"/>
      <c r="AQ31" s="399"/>
      <c r="AR31" s="399"/>
      <c r="AS31" s="399"/>
      <c r="AT31" s="399"/>
      <c r="AU31" s="399"/>
      <c r="AV31" s="399"/>
      <c r="AW31" s="399"/>
      <c r="AX31" s="399"/>
      <c r="AY31" s="399"/>
      <c r="AZ31" s="399"/>
      <c r="BA31" s="399"/>
      <c r="BC31" s="122"/>
    </row>
    <row r="32" spans="1:55" ht="15.75" customHeight="1">
      <c r="A32" s="786"/>
      <c r="B32" s="579" t="s">
        <v>1023</v>
      </c>
      <c r="C32" s="361"/>
      <c r="D32" s="596" t="s">
        <v>1024</v>
      </c>
      <c r="E32" s="134">
        <f t="shared" si="1"/>
        <v>4</v>
      </c>
      <c r="F32" s="264"/>
      <c r="G32" s="264"/>
      <c r="H32" s="264"/>
      <c r="I32" s="264"/>
      <c r="J32" s="265"/>
      <c r="K32" s="265"/>
      <c r="L32" s="265"/>
      <c r="M32" s="265"/>
      <c r="N32" s="264"/>
      <c r="O32" s="264"/>
      <c r="P32" s="264"/>
      <c r="Q32" s="264"/>
      <c r="R32" s="264"/>
      <c r="S32" s="264"/>
      <c r="T32" s="264"/>
      <c r="U32" s="264"/>
      <c r="V32" s="264"/>
      <c r="W32" s="264"/>
      <c r="X32" s="264" t="s">
        <v>482</v>
      </c>
      <c r="Y32" s="264"/>
      <c r="Z32" s="264"/>
      <c r="AA32" s="264"/>
      <c r="AB32" s="264"/>
      <c r="AC32" s="264"/>
      <c r="AD32" s="264" t="s">
        <v>1025</v>
      </c>
      <c r="AE32" s="261"/>
      <c r="AF32" s="261"/>
      <c r="AG32" s="264" t="s">
        <v>482</v>
      </c>
      <c r="AH32" s="264"/>
      <c r="AI32" s="264"/>
      <c r="AJ32" s="264" t="s">
        <v>482</v>
      </c>
      <c r="AK32" s="264"/>
      <c r="AL32" s="561"/>
      <c r="AM32" s="562"/>
      <c r="AN32" s="370"/>
      <c r="AO32" s="370"/>
      <c r="AP32" s="370"/>
      <c r="AQ32" s="561"/>
      <c r="AR32" s="561"/>
      <c r="AS32" s="561"/>
      <c r="AT32" s="561"/>
      <c r="AU32" s="561"/>
      <c r="AV32" s="561"/>
      <c r="AW32" s="561"/>
      <c r="AX32" s="561"/>
      <c r="AY32" s="561"/>
      <c r="AZ32" s="561"/>
      <c r="BA32" s="561"/>
      <c r="BC32" s="122"/>
    </row>
    <row r="33" spans="1:55" ht="15.75" customHeight="1">
      <c r="A33" s="786"/>
      <c r="B33" s="576"/>
      <c r="C33" s="118"/>
      <c r="D33" s="597"/>
      <c r="E33" s="134">
        <f t="shared" si="1"/>
        <v>0</v>
      </c>
      <c r="F33" s="262"/>
      <c r="G33" s="262"/>
      <c r="H33" s="262"/>
      <c r="I33" s="262"/>
      <c r="J33" s="263"/>
      <c r="K33" s="263"/>
      <c r="L33" s="263"/>
      <c r="M33" s="263"/>
      <c r="N33" s="262"/>
      <c r="O33" s="263"/>
      <c r="P33" s="262"/>
      <c r="Q33" s="262"/>
      <c r="R33" s="263"/>
      <c r="S33" s="262"/>
      <c r="T33" s="262"/>
      <c r="U33" s="262"/>
      <c r="V33" s="263"/>
      <c r="W33" s="262"/>
      <c r="X33" s="262"/>
      <c r="Y33" s="262"/>
      <c r="Z33" s="262"/>
      <c r="AA33" s="262"/>
      <c r="AB33" s="263"/>
      <c r="AC33" s="262"/>
      <c r="AD33" s="262"/>
      <c r="AE33" s="123"/>
      <c r="AF33" s="123"/>
      <c r="AG33" s="262"/>
      <c r="AH33" s="262"/>
      <c r="AI33" s="262"/>
      <c r="AJ33" s="262"/>
      <c r="AK33" s="262"/>
      <c r="AL33" s="118"/>
      <c r="AM33" s="233"/>
      <c r="AN33" s="9"/>
      <c r="AO33" s="9"/>
      <c r="AP33" s="9"/>
      <c r="AQ33" s="118"/>
      <c r="AR33" s="118"/>
      <c r="AS33" s="118"/>
      <c r="AT33" s="118"/>
      <c r="AU33" s="118"/>
      <c r="AV33" s="118"/>
      <c r="AW33" s="118"/>
      <c r="AX33" s="118"/>
      <c r="AY33" s="118"/>
      <c r="AZ33" s="118"/>
      <c r="BA33" s="118"/>
      <c r="BC33" s="122"/>
    </row>
    <row r="34" spans="1:55" ht="15.75" customHeight="1">
      <c r="A34" s="786"/>
      <c r="B34" s="576"/>
      <c r="C34" s="361"/>
      <c r="D34" s="596"/>
      <c r="E34" s="134">
        <f t="shared" si="1"/>
        <v>0</v>
      </c>
      <c r="F34" s="382"/>
      <c r="G34" s="382"/>
      <c r="H34" s="382"/>
      <c r="I34" s="382"/>
      <c r="J34" s="383"/>
      <c r="K34" s="383"/>
      <c r="L34" s="383"/>
      <c r="M34" s="383"/>
      <c r="N34" s="382"/>
      <c r="O34" s="382"/>
      <c r="P34" s="382"/>
      <c r="Q34" s="382"/>
      <c r="R34" s="382"/>
      <c r="S34" s="382"/>
      <c r="T34" s="382"/>
      <c r="U34" s="382"/>
      <c r="V34" s="382"/>
      <c r="W34" s="382"/>
      <c r="X34" s="382"/>
      <c r="Y34" s="382"/>
      <c r="Z34" s="382"/>
      <c r="AA34" s="382"/>
      <c r="AB34" s="382"/>
      <c r="AC34" s="382"/>
      <c r="AD34" s="382"/>
      <c r="AE34" s="260"/>
      <c r="AF34" s="260"/>
      <c r="AG34" s="382"/>
      <c r="AH34" s="382"/>
      <c r="AI34" s="382"/>
      <c r="AJ34" s="382"/>
      <c r="AK34" s="382"/>
      <c r="AL34" s="118"/>
      <c r="AM34" s="233"/>
      <c r="AN34" s="9"/>
      <c r="AO34" s="9"/>
      <c r="AP34" s="9"/>
      <c r="AQ34" s="118"/>
      <c r="AR34" s="118"/>
      <c r="AS34" s="118"/>
      <c r="AT34" s="118"/>
      <c r="AU34" s="118"/>
      <c r="AV34" s="118"/>
      <c r="AW34" s="118"/>
      <c r="AX34" s="118"/>
      <c r="AY34" s="118"/>
      <c r="AZ34" s="118"/>
      <c r="BA34" s="118"/>
      <c r="BC34" s="122"/>
    </row>
    <row r="35" spans="1:55" ht="15.75" customHeight="1">
      <c r="A35" s="787"/>
      <c r="B35" s="576"/>
      <c r="C35" s="361"/>
      <c r="D35" s="596"/>
      <c r="E35" s="134">
        <f>COUNTA(F35:AK35)</f>
        <v>0</v>
      </c>
      <c r="F35" s="118"/>
      <c r="G35" s="118"/>
      <c r="H35" s="118"/>
      <c r="I35" s="118"/>
      <c r="J35" s="123"/>
      <c r="K35" s="123"/>
      <c r="L35" s="123"/>
      <c r="M35" s="123"/>
      <c r="N35" s="118"/>
      <c r="O35" s="118"/>
      <c r="P35" s="118"/>
      <c r="Q35" s="118"/>
      <c r="R35" s="118"/>
      <c r="S35" s="118"/>
      <c r="T35" s="118"/>
      <c r="U35" s="118"/>
      <c r="V35" s="118"/>
      <c r="W35" s="118"/>
      <c r="X35" s="118"/>
      <c r="Y35" s="118"/>
      <c r="Z35" s="118"/>
      <c r="AA35" s="118"/>
      <c r="AB35" s="118"/>
      <c r="AC35" s="118"/>
      <c r="AD35" s="118"/>
      <c r="AE35" s="123"/>
      <c r="AF35" s="123"/>
      <c r="AG35" s="118"/>
      <c r="AH35" s="118"/>
      <c r="AI35" s="118"/>
      <c r="AJ35" s="118"/>
      <c r="AK35" s="118"/>
      <c r="AL35" s="119"/>
      <c r="AM35" s="234"/>
      <c r="AN35" s="9"/>
      <c r="AO35" s="9"/>
      <c r="AP35" s="9"/>
      <c r="AQ35" s="119"/>
      <c r="AR35" s="119"/>
      <c r="AS35" s="119"/>
      <c r="AT35" s="119"/>
      <c r="AU35" s="119"/>
      <c r="AV35" s="119"/>
      <c r="AW35" s="119"/>
      <c r="AX35" s="119"/>
      <c r="AY35" s="119"/>
      <c r="AZ35" s="119"/>
      <c r="BA35" s="119"/>
      <c r="BC35" s="122"/>
    </row>
    <row r="36" spans="1:55" ht="15.75" customHeight="1">
      <c r="A36" s="785" t="s">
        <v>475</v>
      </c>
      <c r="B36" s="580" t="s">
        <v>547</v>
      </c>
      <c r="C36" s="361"/>
      <c r="D36" s="596" t="s">
        <v>548</v>
      </c>
      <c r="E36" s="134">
        <f>COUNTA(F36:AK36)</f>
        <v>4</v>
      </c>
      <c r="F36" s="399"/>
      <c r="G36" s="399"/>
      <c r="H36" s="399"/>
      <c r="I36" s="399"/>
      <c r="J36" s="123"/>
      <c r="K36" s="123"/>
      <c r="L36" s="123"/>
      <c r="M36" s="123"/>
      <c r="N36" s="399"/>
      <c r="O36" s="399"/>
      <c r="P36" s="399"/>
      <c r="Q36" s="399"/>
      <c r="R36" s="399" t="s">
        <v>482</v>
      </c>
      <c r="S36" s="399" t="s">
        <v>482</v>
      </c>
      <c r="T36" s="399" t="s">
        <v>482</v>
      </c>
      <c r="U36" s="399"/>
      <c r="V36" s="399"/>
      <c r="W36" s="399"/>
      <c r="X36" s="399"/>
      <c r="Y36" s="399" t="s">
        <v>482</v>
      </c>
      <c r="Z36" s="399"/>
      <c r="AA36" s="399"/>
      <c r="AB36" s="399"/>
      <c r="AC36" s="399"/>
      <c r="AD36" s="399"/>
      <c r="AE36" s="123"/>
      <c r="AF36" s="123"/>
      <c r="AG36" s="399"/>
      <c r="AH36" s="399"/>
      <c r="AI36" s="399"/>
      <c r="AJ36" s="399"/>
      <c r="AK36" s="399"/>
      <c r="AL36" s="111"/>
      <c r="AM36" s="236"/>
      <c r="AN36" s="386"/>
      <c r="AO36" s="386"/>
      <c r="AP36" s="386"/>
      <c r="AQ36" s="111"/>
      <c r="AR36" s="111"/>
      <c r="AS36" s="111"/>
      <c r="AT36" s="111"/>
      <c r="AU36" s="111"/>
      <c r="AV36" s="111"/>
      <c r="AW36" s="111"/>
      <c r="AX36" s="111"/>
      <c r="AY36" s="111"/>
      <c r="AZ36" s="111"/>
      <c r="BA36" s="111"/>
      <c r="BC36" s="124"/>
    </row>
    <row r="37" spans="1:55" ht="15.75" customHeight="1">
      <c r="A37" s="785"/>
      <c r="B37" s="577"/>
      <c r="C37" s="118"/>
      <c r="D37" s="596"/>
      <c r="E37" s="134">
        <f t="shared" si="1"/>
        <v>0</v>
      </c>
      <c r="F37" s="262"/>
      <c r="G37" s="262"/>
      <c r="H37" s="262"/>
      <c r="I37" s="262"/>
      <c r="J37" s="263"/>
      <c r="K37" s="263"/>
      <c r="L37" s="263"/>
      <c r="M37" s="263"/>
      <c r="N37" s="262"/>
      <c r="O37" s="262"/>
      <c r="P37" s="262"/>
      <c r="Q37" s="262"/>
      <c r="R37" s="263"/>
      <c r="S37" s="262"/>
      <c r="T37" s="262"/>
      <c r="U37" s="262"/>
      <c r="V37" s="263"/>
      <c r="W37" s="262"/>
      <c r="X37" s="262"/>
      <c r="Y37" s="262"/>
      <c r="Z37" s="262"/>
      <c r="AA37" s="262"/>
      <c r="AB37" s="263"/>
      <c r="AC37" s="262"/>
      <c r="AD37" s="262"/>
      <c r="AE37" s="123"/>
      <c r="AF37" s="123"/>
      <c r="AG37" s="262"/>
      <c r="AH37" s="262"/>
      <c r="AI37" s="262"/>
      <c r="AJ37" s="262"/>
      <c r="AK37" s="262"/>
      <c r="AL37" s="118"/>
      <c r="AM37" s="233"/>
      <c r="AN37" s="9"/>
      <c r="AO37" s="9"/>
      <c r="AP37" s="9"/>
      <c r="AQ37" s="118"/>
      <c r="AR37" s="118"/>
      <c r="AS37" s="118"/>
      <c r="AT37" s="118"/>
      <c r="AU37" s="118"/>
      <c r="AV37" s="118"/>
      <c r="AW37" s="118"/>
      <c r="AX37" s="118"/>
      <c r="AY37" s="118"/>
      <c r="AZ37" s="118"/>
      <c r="BA37" s="118"/>
      <c r="BC37" s="124"/>
    </row>
    <row r="38" spans="1:55" ht="15.75" customHeight="1">
      <c r="A38" s="785"/>
      <c r="B38" s="577"/>
      <c r="C38" s="361"/>
      <c r="D38" s="596"/>
      <c r="E38" s="134">
        <f t="shared" si="1"/>
        <v>0</v>
      </c>
      <c r="F38" s="262"/>
      <c r="G38" s="262"/>
      <c r="H38" s="262"/>
      <c r="I38" s="262"/>
      <c r="J38" s="263"/>
      <c r="K38" s="263"/>
      <c r="L38" s="263"/>
      <c r="M38" s="263"/>
      <c r="N38" s="262"/>
      <c r="O38" s="262"/>
      <c r="P38" s="262"/>
      <c r="Q38" s="262"/>
      <c r="R38" s="263"/>
      <c r="S38" s="262"/>
      <c r="T38" s="262"/>
      <c r="U38" s="262"/>
      <c r="V38" s="263"/>
      <c r="W38" s="262"/>
      <c r="X38" s="262"/>
      <c r="Y38" s="262"/>
      <c r="Z38" s="262"/>
      <c r="AA38" s="262"/>
      <c r="AB38" s="263"/>
      <c r="AC38" s="262"/>
      <c r="AD38" s="262"/>
      <c r="AE38" s="123"/>
      <c r="AF38" s="123"/>
      <c r="AG38" s="262"/>
      <c r="AH38" s="262"/>
      <c r="AI38" s="262"/>
      <c r="AJ38" s="262"/>
      <c r="AK38" s="262"/>
      <c r="AL38" s="118"/>
      <c r="AM38" s="233"/>
      <c r="AN38" s="9"/>
      <c r="AO38" s="9"/>
      <c r="AP38" s="9"/>
      <c r="AQ38" s="118"/>
      <c r="AR38" s="118"/>
      <c r="AS38" s="118"/>
      <c r="AT38" s="118"/>
      <c r="AU38" s="118"/>
      <c r="AV38" s="118"/>
      <c r="AW38" s="118"/>
      <c r="AX38" s="118"/>
      <c r="AY38" s="118"/>
      <c r="AZ38" s="118"/>
      <c r="BA38" s="118"/>
      <c r="BC38" s="124"/>
    </row>
    <row r="39" spans="1:55" ht="15.75" customHeight="1">
      <c r="A39" s="785"/>
      <c r="B39" s="577"/>
      <c r="C39" s="361"/>
      <c r="D39" s="596"/>
      <c r="E39" s="134">
        <f t="shared" si="1"/>
        <v>0</v>
      </c>
      <c r="F39" s="262"/>
      <c r="G39" s="262"/>
      <c r="H39" s="262"/>
      <c r="I39" s="262"/>
      <c r="J39" s="263"/>
      <c r="K39" s="263"/>
      <c r="L39" s="263"/>
      <c r="M39" s="263"/>
      <c r="N39" s="262"/>
      <c r="O39" s="262"/>
      <c r="P39" s="262"/>
      <c r="Q39" s="262"/>
      <c r="R39" s="263"/>
      <c r="S39" s="262"/>
      <c r="T39" s="262"/>
      <c r="U39" s="262"/>
      <c r="V39" s="263"/>
      <c r="W39" s="262"/>
      <c r="X39" s="262"/>
      <c r="Y39" s="262"/>
      <c r="Z39" s="262"/>
      <c r="AA39" s="262"/>
      <c r="AB39" s="263"/>
      <c r="AC39" s="262"/>
      <c r="AD39" s="262"/>
      <c r="AE39" s="123"/>
      <c r="AF39" s="123"/>
      <c r="AG39" s="262"/>
      <c r="AH39" s="262"/>
      <c r="AI39" s="262"/>
      <c r="AJ39" s="262"/>
      <c r="AK39" s="262"/>
      <c r="AL39" s="118"/>
      <c r="AM39" s="233"/>
      <c r="AN39" s="9"/>
      <c r="AO39" s="9"/>
      <c r="AP39" s="9"/>
      <c r="AQ39" s="118"/>
      <c r="AR39" s="118"/>
      <c r="AS39" s="118"/>
      <c r="AT39" s="118"/>
      <c r="AU39" s="118"/>
      <c r="AV39" s="118"/>
      <c r="AW39" s="118"/>
      <c r="AX39" s="118"/>
      <c r="AY39" s="118"/>
      <c r="AZ39" s="118"/>
      <c r="BA39" s="118"/>
      <c r="BC39" s="124"/>
    </row>
    <row r="40" spans="1:55" ht="15.75" customHeight="1">
      <c r="A40" s="785"/>
      <c r="B40" s="577"/>
      <c r="C40" s="361"/>
      <c r="D40" s="598"/>
      <c r="E40" s="134">
        <f t="shared" si="1"/>
        <v>0</v>
      </c>
      <c r="F40" s="262"/>
      <c r="G40" s="262"/>
      <c r="H40" s="262"/>
      <c r="I40" s="262"/>
      <c r="J40" s="263"/>
      <c r="K40" s="263"/>
      <c r="L40" s="263"/>
      <c r="M40" s="263"/>
      <c r="N40" s="262"/>
      <c r="O40" s="262"/>
      <c r="P40" s="262"/>
      <c r="Q40" s="262"/>
      <c r="R40" s="263"/>
      <c r="S40" s="262"/>
      <c r="T40" s="262"/>
      <c r="U40" s="262"/>
      <c r="V40" s="263"/>
      <c r="W40" s="262"/>
      <c r="X40" s="262"/>
      <c r="Y40" s="262"/>
      <c r="Z40" s="262"/>
      <c r="AA40" s="262"/>
      <c r="AB40" s="263"/>
      <c r="AC40" s="262"/>
      <c r="AD40" s="262"/>
      <c r="AE40" s="123"/>
      <c r="AF40" s="123"/>
      <c r="AG40" s="262"/>
      <c r="AH40" s="262"/>
      <c r="AI40" s="262"/>
      <c r="AJ40" s="262"/>
      <c r="AK40" s="262"/>
      <c r="AL40" s="118"/>
      <c r="AM40" s="233"/>
      <c r="AN40" s="9"/>
      <c r="AO40" s="9"/>
      <c r="AP40" s="9"/>
      <c r="AQ40" s="118"/>
      <c r="AR40" s="118"/>
      <c r="AS40" s="118"/>
      <c r="AT40" s="118"/>
      <c r="AU40" s="118"/>
      <c r="AV40" s="118"/>
      <c r="AW40" s="118"/>
      <c r="AX40" s="118"/>
      <c r="AY40" s="118"/>
      <c r="AZ40" s="118"/>
      <c r="BA40" s="118"/>
      <c r="BC40" s="124"/>
    </row>
    <row r="41" spans="1:55" ht="15.75" customHeight="1">
      <c r="A41" s="785"/>
      <c r="B41" s="577"/>
      <c r="C41" s="361"/>
      <c r="D41" s="596"/>
      <c r="E41" s="134">
        <f t="shared" si="1"/>
        <v>0</v>
      </c>
      <c r="F41" s="262"/>
      <c r="G41" s="262"/>
      <c r="H41" s="262"/>
      <c r="I41" s="262"/>
      <c r="J41" s="263"/>
      <c r="K41" s="263"/>
      <c r="L41" s="263"/>
      <c r="M41" s="263"/>
      <c r="N41" s="262"/>
      <c r="O41" s="262"/>
      <c r="P41" s="262"/>
      <c r="Q41" s="262"/>
      <c r="R41" s="263"/>
      <c r="S41" s="262"/>
      <c r="T41" s="262"/>
      <c r="U41" s="262"/>
      <c r="V41" s="263"/>
      <c r="W41" s="262"/>
      <c r="X41" s="262"/>
      <c r="Y41" s="262"/>
      <c r="Z41" s="262"/>
      <c r="AA41" s="262"/>
      <c r="AB41" s="263"/>
      <c r="AC41" s="262"/>
      <c r="AD41" s="262"/>
      <c r="AE41" s="123"/>
      <c r="AF41" s="123"/>
      <c r="AG41" s="262"/>
      <c r="AH41" s="262"/>
      <c r="AI41" s="262"/>
      <c r="AJ41" s="262"/>
      <c r="AK41" s="262"/>
      <c r="AL41" s="118"/>
      <c r="AM41" s="233"/>
      <c r="AN41" s="9"/>
      <c r="AO41" s="9"/>
      <c r="AP41" s="9"/>
      <c r="AQ41" s="118"/>
      <c r="AR41" s="118"/>
      <c r="AS41" s="118"/>
      <c r="AT41" s="118"/>
      <c r="AU41" s="118"/>
      <c r="AV41" s="118"/>
      <c r="AW41" s="118"/>
      <c r="AX41" s="118"/>
      <c r="AY41" s="118"/>
      <c r="AZ41" s="118"/>
      <c r="BA41" s="118"/>
      <c r="BC41" s="124"/>
    </row>
    <row r="42" spans="1:55" ht="15.75" customHeight="1">
      <c r="A42" s="785"/>
      <c r="B42" s="577"/>
      <c r="C42" s="361"/>
      <c r="D42" s="596"/>
      <c r="E42" s="134">
        <f t="shared" si="1"/>
        <v>0</v>
      </c>
      <c r="F42" s="262"/>
      <c r="G42" s="262"/>
      <c r="H42" s="262"/>
      <c r="I42" s="262"/>
      <c r="J42" s="263"/>
      <c r="K42" s="263"/>
      <c r="L42" s="263"/>
      <c r="M42" s="263"/>
      <c r="N42" s="262"/>
      <c r="O42" s="262"/>
      <c r="P42" s="262"/>
      <c r="Q42" s="262"/>
      <c r="R42" s="262"/>
      <c r="S42" s="262"/>
      <c r="T42" s="262"/>
      <c r="U42" s="262"/>
      <c r="V42" s="262"/>
      <c r="W42" s="262"/>
      <c r="X42" s="262"/>
      <c r="Y42" s="262"/>
      <c r="Z42" s="262"/>
      <c r="AA42" s="262"/>
      <c r="AB42" s="262"/>
      <c r="AC42" s="262"/>
      <c r="AD42" s="262"/>
      <c r="AE42" s="123"/>
      <c r="AF42" s="123"/>
      <c r="AG42" s="262"/>
      <c r="AH42" s="262"/>
      <c r="AI42" s="262"/>
      <c r="AJ42" s="262"/>
      <c r="AK42" s="262"/>
      <c r="AL42" s="118"/>
      <c r="AM42" s="233"/>
      <c r="AN42" s="9"/>
      <c r="AO42" s="9"/>
      <c r="AP42" s="9"/>
      <c r="AQ42" s="118"/>
      <c r="AR42" s="118"/>
      <c r="AS42" s="118"/>
      <c r="AT42" s="118"/>
      <c r="AU42" s="118"/>
      <c r="AV42" s="118"/>
      <c r="AW42" s="118"/>
      <c r="AX42" s="118"/>
      <c r="AY42" s="118"/>
      <c r="AZ42" s="118"/>
      <c r="BA42" s="118"/>
      <c r="BC42" s="124"/>
    </row>
    <row r="43" spans="1:55" ht="15.75" customHeight="1">
      <c r="A43" s="788"/>
      <c r="B43" s="577"/>
      <c r="C43" s="361"/>
      <c r="D43" s="596"/>
      <c r="E43" s="134">
        <f t="shared" si="1"/>
        <v>0</v>
      </c>
      <c r="F43" s="383"/>
      <c r="G43" s="383"/>
      <c r="H43" s="383"/>
      <c r="I43" s="383"/>
      <c r="J43" s="383"/>
      <c r="K43" s="383"/>
      <c r="L43" s="383"/>
      <c r="M43" s="383"/>
      <c r="N43" s="383"/>
      <c r="O43" s="383"/>
      <c r="P43" s="383"/>
      <c r="Q43" s="383"/>
      <c r="R43" s="383"/>
      <c r="S43" s="383"/>
      <c r="T43" s="383"/>
      <c r="U43" s="383"/>
      <c r="V43" s="383"/>
      <c r="W43" s="383"/>
      <c r="X43" s="383"/>
      <c r="Y43" s="383"/>
      <c r="Z43" s="383"/>
      <c r="AA43" s="383"/>
      <c r="AB43" s="383"/>
      <c r="AC43" s="383"/>
      <c r="AD43" s="383"/>
      <c r="AE43" s="260"/>
      <c r="AF43" s="260"/>
      <c r="AG43" s="383"/>
      <c r="AH43" s="383"/>
      <c r="AI43" s="383"/>
      <c r="AJ43" s="383"/>
      <c r="AK43" s="383"/>
      <c r="AL43" s="118"/>
      <c r="AM43" s="233"/>
      <c r="AN43" s="9"/>
      <c r="AO43" s="9"/>
      <c r="AP43" s="9"/>
      <c r="AQ43" s="118"/>
      <c r="AR43" s="118"/>
      <c r="AS43" s="118"/>
      <c r="AT43" s="118"/>
      <c r="AU43" s="118"/>
      <c r="AV43" s="118"/>
      <c r="AW43" s="118"/>
      <c r="AX43" s="118"/>
      <c r="AY43" s="118"/>
      <c r="AZ43" s="118"/>
      <c r="BA43" s="118"/>
      <c r="BC43" s="124"/>
    </row>
    <row r="44" spans="1:55" ht="15.75" customHeight="1">
      <c r="A44" s="786" t="s">
        <v>476</v>
      </c>
      <c r="B44" s="575"/>
      <c r="C44" s="118"/>
      <c r="D44" s="599"/>
      <c r="E44" s="134">
        <f t="shared" si="1"/>
        <v>0</v>
      </c>
      <c r="F44" s="383"/>
      <c r="G44" s="383"/>
      <c r="H44" s="383"/>
      <c r="I44" s="383"/>
      <c r="J44" s="383"/>
      <c r="K44" s="383"/>
      <c r="L44" s="383"/>
      <c r="M44" s="383"/>
      <c r="N44" s="383"/>
      <c r="O44" s="383"/>
      <c r="P44" s="383"/>
      <c r="Q44" s="383"/>
      <c r="R44" s="383"/>
      <c r="S44" s="383"/>
      <c r="T44" s="383"/>
      <c r="U44" s="383"/>
      <c r="V44" s="383"/>
      <c r="W44" s="383"/>
      <c r="X44" s="383"/>
      <c r="Y44" s="383"/>
      <c r="Z44" s="383"/>
      <c r="AA44" s="383"/>
      <c r="AB44" s="383"/>
      <c r="AC44" s="383"/>
      <c r="AD44" s="383"/>
      <c r="AE44" s="260"/>
      <c r="AF44" s="260"/>
      <c r="AG44" s="383"/>
      <c r="AH44" s="383"/>
      <c r="AI44" s="383"/>
      <c r="AJ44" s="383"/>
      <c r="AK44" s="383"/>
      <c r="AL44" s="260"/>
      <c r="AM44" s="389"/>
      <c r="AN44" s="390"/>
      <c r="AO44" s="390"/>
      <c r="AP44" s="390"/>
      <c r="AQ44" s="260"/>
      <c r="AR44" s="260"/>
      <c r="AS44" s="260"/>
      <c r="AT44" s="260"/>
      <c r="AU44" s="260"/>
      <c r="AV44" s="260"/>
      <c r="AW44" s="260"/>
      <c r="AX44" s="260"/>
      <c r="AY44" s="260"/>
      <c r="AZ44" s="260"/>
      <c r="BA44" s="260"/>
      <c r="BC44" s="124"/>
    </row>
    <row r="45" spans="1:55" ht="15.75" customHeight="1">
      <c r="A45" s="786"/>
      <c r="B45" s="581"/>
      <c r="C45" s="361"/>
      <c r="D45" s="598"/>
      <c r="E45" s="134">
        <f t="shared" si="1"/>
        <v>0</v>
      </c>
      <c r="F45" s="382"/>
      <c r="G45" s="382"/>
      <c r="H45" s="382"/>
      <c r="I45" s="382"/>
      <c r="J45" s="383"/>
      <c r="K45" s="383"/>
      <c r="L45" s="383"/>
      <c r="M45" s="383"/>
      <c r="N45" s="382"/>
      <c r="O45" s="382"/>
      <c r="P45" s="382"/>
      <c r="Q45" s="382"/>
      <c r="R45" s="382"/>
      <c r="S45" s="382"/>
      <c r="T45" s="382"/>
      <c r="U45" s="382"/>
      <c r="V45" s="382"/>
      <c r="W45" s="382"/>
      <c r="X45" s="382"/>
      <c r="Y45" s="382"/>
      <c r="Z45" s="382"/>
      <c r="AA45" s="382"/>
      <c r="AB45" s="382"/>
      <c r="AC45" s="382"/>
      <c r="AD45" s="382"/>
      <c r="AE45" s="260"/>
      <c r="AF45" s="260"/>
      <c r="AG45" s="382"/>
      <c r="AH45" s="382"/>
      <c r="AI45" s="382"/>
      <c r="AJ45" s="382"/>
      <c r="AK45" s="382"/>
      <c r="AL45" s="118"/>
      <c r="AM45" s="233"/>
      <c r="AN45" s="386"/>
      <c r="AO45" s="386"/>
      <c r="AP45" s="386"/>
      <c r="AQ45" s="118"/>
      <c r="AR45" s="118"/>
      <c r="AS45" s="118"/>
      <c r="AT45" s="118"/>
      <c r="AU45" s="118"/>
      <c r="AV45" s="118"/>
      <c r="AW45" s="118"/>
      <c r="AX45" s="118"/>
      <c r="AY45" s="118"/>
      <c r="AZ45" s="118"/>
      <c r="BA45" s="118"/>
      <c r="BC45" s="124"/>
    </row>
    <row r="46" spans="1:55" ht="15.75" customHeight="1">
      <c r="A46" s="786"/>
      <c r="B46" s="576"/>
      <c r="C46" s="361"/>
      <c r="D46" s="596"/>
      <c r="E46" s="134">
        <f t="shared" si="1"/>
        <v>0</v>
      </c>
      <c r="F46" s="262"/>
      <c r="G46" s="262"/>
      <c r="H46" s="262"/>
      <c r="I46" s="262"/>
      <c r="J46" s="263"/>
      <c r="K46" s="263"/>
      <c r="L46" s="263"/>
      <c r="M46" s="263"/>
      <c r="N46" s="262"/>
      <c r="O46" s="263"/>
      <c r="P46" s="262"/>
      <c r="Q46" s="262"/>
      <c r="R46" s="262"/>
      <c r="S46" s="262"/>
      <c r="T46" s="262"/>
      <c r="U46" s="262"/>
      <c r="V46" s="263"/>
      <c r="W46" s="262"/>
      <c r="X46" s="262"/>
      <c r="Y46" s="262"/>
      <c r="Z46" s="262"/>
      <c r="AA46" s="262"/>
      <c r="AB46" s="262"/>
      <c r="AC46" s="262"/>
      <c r="AD46" s="262"/>
      <c r="AE46" s="123"/>
      <c r="AF46" s="123"/>
      <c r="AG46" s="262"/>
      <c r="AH46" s="262"/>
      <c r="AI46" s="262"/>
      <c r="AJ46" s="262"/>
      <c r="AK46" s="262"/>
      <c r="AL46" s="118"/>
      <c r="AM46" s="233"/>
      <c r="AN46" s="9"/>
      <c r="AO46" s="9"/>
      <c r="AP46" s="9"/>
      <c r="AQ46" s="118"/>
      <c r="AR46" s="118"/>
      <c r="AS46" s="118"/>
      <c r="AT46" s="118"/>
      <c r="AU46" s="118"/>
      <c r="AV46" s="118"/>
      <c r="AW46" s="118"/>
      <c r="AX46" s="118"/>
      <c r="AY46" s="118"/>
      <c r="AZ46" s="118"/>
      <c r="BA46" s="118"/>
      <c r="BC46" s="124"/>
    </row>
    <row r="47" spans="1:55" ht="15.75" customHeight="1">
      <c r="A47" s="786"/>
      <c r="B47" s="576"/>
      <c r="C47" s="118"/>
      <c r="D47" s="597"/>
      <c r="E47" s="134">
        <f t="shared" si="1"/>
        <v>0</v>
      </c>
      <c r="F47" s="262"/>
      <c r="G47" s="262"/>
      <c r="H47" s="262"/>
      <c r="I47" s="262"/>
      <c r="J47" s="263"/>
      <c r="K47" s="263"/>
      <c r="L47" s="263"/>
      <c r="M47" s="263"/>
      <c r="N47" s="262"/>
      <c r="O47" s="263"/>
      <c r="P47" s="262"/>
      <c r="Q47" s="262"/>
      <c r="R47" s="262"/>
      <c r="S47" s="262"/>
      <c r="T47" s="262"/>
      <c r="U47" s="262"/>
      <c r="V47" s="263"/>
      <c r="W47" s="262"/>
      <c r="X47" s="262"/>
      <c r="Y47" s="262"/>
      <c r="Z47" s="262"/>
      <c r="AA47" s="262"/>
      <c r="AB47" s="262"/>
      <c r="AC47" s="262"/>
      <c r="AD47" s="262"/>
      <c r="AE47" s="123"/>
      <c r="AF47" s="123"/>
      <c r="AG47" s="262"/>
      <c r="AH47" s="262"/>
      <c r="AI47" s="262"/>
      <c r="AJ47" s="262"/>
      <c r="AK47" s="262"/>
      <c r="AL47" s="118"/>
      <c r="AM47" s="233"/>
      <c r="AN47" s="9"/>
      <c r="AO47" s="9"/>
      <c r="AP47" s="9"/>
      <c r="AQ47" s="118"/>
      <c r="AR47" s="118"/>
      <c r="AS47" s="118"/>
      <c r="AT47" s="118"/>
      <c r="AU47" s="118"/>
      <c r="AV47" s="118"/>
      <c r="AW47" s="118"/>
      <c r="AX47" s="118"/>
      <c r="AY47" s="118"/>
      <c r="AZ47" s="118"/>
      <c r="BA47" s="118"/>
      <c r="BC47" s="124"/>
    </row>
    <row r="48" spans="1:55" ht="15.75" customHeight="1">
      <c r="A48" s="786"/>
      <c r="B48" s="576"/>
      <c r="C48" s="361"/>
      <c r="D48" s="597"/>
      <c r="E48" s="134">
        <f t="shared" si="1"/>
        <v>0</v>
      </c>
      <c r="F48" s="262"/>
      <c r="G48" s="262"/>
      <c r="H48" s="262"/>
      <c r="I48" s="262"/>
      <c r="J48" s="263"/>
      <c r="K48" s="263"/>
      <c r="L48" s="263"/>
      <c r="M48" s="263"/>
      <c r="N48" s="262"/>
      <c r="O48" s="263"/>
      <c r="P48" s="262"/>
      <c r="Q48" s="262"/>
      <c r="R48" s="262"/>
      <c r="S48" s="262"/>
      <c r="T48" s="262"/>
      <c r="U48" s="262"/>
      <c r="V48" s="263"/>
      <c r="W48" s="262"/>
      <c r="X48" s="262"/>
      <c r="Y48" s="262"/>
      <c r="Z48" s="262"/>
      <c r="AA48" s="262"/>
      <c r="AB48" s="262"/>
      <c r="AC48" s="262"/>
      <c r="AD48" s="262"/>
      <c r="AE48" s="123"/>
      <c r="AF48" s="123"/>
      <c r="AG48" s="262"/>
      <c r="AH48" s="262"/>
      <c r="AI48" s="262"/>
      <c r="AJ48" s="262"/>
      <c r="AK48" s="262"/>
      <c r="AL48" s="118"/>
      <c r="AM48" s="233"/>
      <c r="AN48" s="9"/>
      <c r="AO48" s="9"/>
      <c r="AP48" s="9"/>
      <c r="AQ48" s="118"/>
      <c r="AR48" s="118"/>
      <c r="AS48" s="118"/>
      <c r="AT48" s="118"/>
      <c r="AU48" s="118"/>
      <c r="AV48" s="118"/>
      <c r="AW48" s="118"/>
      <c r="AX48" s="118"/>
      <c r="AY48" s="118"/>
      <c r="AZ48" s="118"/>
      <c r="BA48" s="118"/>
      <c r="BC48" s="124"/>
    </row>
    <row r="49" spans="1:55" ht="15.75" customHeight="1">
      <c r="A49" s="786"/>
      <c r="B49" s="576"/>
      <c r="C49" s="361"/>
      <c r="D49" s="596"/>
      <c r="E49" s="134">
        <f t="shared" si="1"/>
        <v>0</v>
      </c>
      <c r="F49" s="262"/>
      <c r="G49" s="262"/>
      <c r="H49" s="262"/>
      <c r="I49" s="262"/>
      <c r="J49" s="263"/>
      <c r="K49" s="263"/>
      <c r="L49" s="263"/>
      <c r="M49" s="263"/>
      <c r="N49" s="262"/>
      <c r="O49" s="263"/>
      <c r="P49" s="262"/>
      <c r="Q49" s="262"/>
      <c r="R49" s="262"/>
      <c r="S49" s="262"/>
      <c r="T49" s="262"/>
      <c r="U49" s="262"/>
      <c r="V49" s="263"/>
      <c r="W49" s="262"/>
      <c r="X49" s="262"/>
      <c r="Y49" s="262"/>
      <c r="Z49" s="262"/>
      <c r="AA49" s="262"/>
      <c r="AB49" s="262"/>
      <c r="AC49" s="262"/>
      <c r="AD49" s="262"/>
      <c r="AE49" s="123"/>
      <c r="AF49" s="123"/>
      <c r="AG49" s="262"/>
      <c r="AH49" s="262"/>
      <c r="AI49" s="262"/>
      <c r="AJ49" s="262"/>
      <c r="AK49" s="262"/>
      <c r="AL49" s="118"/>
      <c r="AM49" s="233"/>
      <c r="AN49" s="9"/>
      <c r="AO49" s="9"/>
      <c r="AP49" s="9"/>
      <c r="AQ49" s="118"/>
      <c r="AR49" s="118"/>
      <c r="AS49" s="118"/>
      <c r="AT49" s="118"/>
      <c r="AU49" s="118"/>
      <c r="AV49" s="118"/>
      <c r="AW49" s="118"/>
      <c r="AX49" s="118"/>
      <c r="AY49" s="118"/>
      <c r="AZ49" s="118"/>
      <c r="BA49" s="118"/>
      <c r="BC49" s="124"/>
    </row>
    <row r="50" spans="1:55" ht="15.75" customHeight="1">
      <c r="A50" s="786"/>
      <c r="B50" s="576"/>
      <c r="C50" s="361"/>
      <c r="D50" s="596"/>
      <c r="E50" s="134">
        <f t="shared" si="1"/>
        <v>0</v>
      </c>
      <c r="F50" s="262"/>
      <c r="G50" s="262"/>
      <c r="H50" s="262"/>
      <c r="I50" s="262"/>
      <c r="J50" s="263"/>
      <c r="K50" s="263"/>
      <c r="L50" s="263"/>
      <c r="M50" s="263"/>
      <c r="N50" s="262"/>
      <c r="O50" s="262"/>
      <c r="P50" s="262"/>
      <c r="Q50" s="262"/>
      <c r="R50" s="262"/>
      <c r="S50" s="262"/>
      <c r="T50" s="262"/>
      <c r="U50" s="262"/>
      <c r="V50" s="262"/>
      <c r="W50" s="262"/>
      <c r="X50" s="262"/>
      <c r="Y50" s="262"/>
      <c r="Z50" s="262"/>
      <c r="AA50" s="262"/>
      <c r="AB50" s="262"/>
      <c r="AC50" s="262"/>
      <c r="AD50" s="262"/>
      <c r="AE50" s="123"/>
      <c r="AF50" s="123"/>
      <c r="AG50" s="262"/>
      <c r="AH50" s="262"/>
      <c r="AI50" s="262"/>
      <c r="AJ50" s="262"/>
      <c r="AK50" s="262"/>
      <c r="AL50" s="118"/>
      <c r="AM50" s="233"/>
      <c r="AN50" s="9"/>
      <c r="AO50" s="9"/>
      <c r="AP50" s="9"/>
      <c r="AQ50" s="118"/>
      <c r="AR50" s="118"/>
      <c r="AS50" s="118"/>
      <c r="AT50" s="118"/>
      <c r="AU50" s="118"/>
      <c r="AV50" s="118"/>
      <c r="AW50" s="118"/>
      <c r="AX50" s="118"/>
      <c r="AY50" s="118"/>
      <c r="AZ50" s="118"/>
      <c r="BA50" s="118"/>
      <c r="BC50" s="124"/>
    </row>
    <row r="51" spans="1:55" ht="15.75" customHeight="1">
      <c r="A51" s="787"/>
      <c r="B51" s="576"/>
      <c r="C51" s="361"/>
      <c r="D51" s="596"/>
      <c r="E51" s="134">
        <f t="shared" si="1"/>
        <v>0</v>
      </c>
      <c r="F51" s="262"/>
      <c r="G51" s="262"/>
      <c r="H51" s="262"/>
      <c r="I51" s="262"/>
      <c r="J51" s="263"/>
      <c r="K51" s="263"/>
      <c r="L51" s="263"/>
      <c r="M51" s="263"/>
      <c r="N51" s="262"/>
      <c r="O51" s="263"/>
      <c r="P51" s="262"/>
      <c r="Q51" s="262"/>
      <c r="R51" s="262"/>
      <c r="S51" s="383"/>
      <c r="T51" s="383"/>
      <c r="U51" s="383"/>
      <c r="V51" s="383"/>
      <c r="W51" s="383"/>
      <c r="X51" s="383"/>
      <c r="Y51" s="383"/>
      <c r="Z51" s="383"/>
      <c r="AA51" s="383"/>
      <c r="AB51" s="383"/>
      <c r="AC51" s="383"/>
      <c r="AD51" s="383"/>
      <c r="AE51" s="260"/>
      <c r="AF51" s="260"/>
      <c r="AG51" s="383"/>
      <c r="AH51" s="383"/>
      <c r="AI51" s="383"/>
      <c r="AJ51" s="383"/>
      <c r="AK51" s="383"/>
      <c r="AL51" s="118"/>
      <c r="AM51" s="233"/>
      <c r="AN51" s="9"/>
      <c r="AO51" s="9"/>
      <c r="AP51" s="9"/>
      <c r="AQ51" s="118"/>
      <c r="AR51" s="118"/>
      <c r="AS51" s="118"/>
      <c r="AT51" s="118"/>
      <c r="AU51" s="118"/>
      <c r="AV51" s="118"/>
      <c r="AW51" s="118"/>
      <c r="AX51" s="118"/>
      <c r="AY51" s="118"/>
      <c r="AZ51" s="118"/>
      <c r="BA51" s="118"/>
      <c r="BC51" s="124"/>
    </row>
    <row r="52" spans="1:55" ht="15.75" customHeight="1">
      <c r="A52" s="785" t="s">
        <v>477</v>
      </c>
      <c r="B52" s="571"/>
      <c r="C52" s="118"/>
      <c r="D52" s="596"/>
      <c r="E52" s="134">
        <f t="shared" si="1"/>
        <v>0</v>
      </c>
      <c r="F52" s="262"/>
      <c r="G52" s="262"/>
      <c r="H52" s="262"/>
      <c r="I52" s="262"/>
      <c r="J52" s="263"/>
      <c r="K52" s="263"/>
      <c r="L52" s="263"/>
      <c r="M52" s="263"/>
      <c r="N52" s="262"/>
      <c r="O52" s="263"/>
      <c r="P52" s="262"/>
      <c r="Q52" s="262"/>
      <c r="R52" s="262"/>
      <c r="S52" s="383"/>
      <c r="T52" s="383"/>
      <c r="U52" s="383"/>
      <c r="V52" s="383"/>
      <c r="W52" s="383"/>
      <c r="X52" s="383"/>
      <c r="Y52" s="383"/>
      <c r="Z52" s="383"/>
      <c r="AA52" s="383"/>
      <c r="AB52" s="383"/>
      <c r="AC52" s="383"/>
      <c r="AD52" s="383"/>
      <c r="AE52" s="260"/>
      <c r="AF52" s="260"/>
      <c r="AG52" s="383"/>
      <c r="AH52" s="383"/>
      <c r="AI52" s="383"/>
      <c r="AJ52" s="383"/>
      <c r="AK52" s="383"/>
      <c r="AL52" s="260"/>
      <c r="AM52" s="389"/>
      <c r="AN52" s="390"/>
      <c r="AO52" s="390"/>
      <c r="AP52" s="390"/>
      <c r="AQ52" s="260"/>
      <c r="AR52" s="260"/>
      <c r="AS52" s="260"/>
      <c r="AT52" s="260"/>
      <c r="AU52" s="260"/>
      <c r="AV52" s="260"/>
      <c r="AW52" s="260"/>
      <c r="AX52" s="260"/>
      <c r="AY52" s="260"/>
      <c r="AZ52" s="260"/>
      <c r="BA52" s="260"/>
      <c r="BC52" s="124"/>
    </row>
    <row r="53" spans="1:55" ht="15.75" customHeight="1">
      <c r="A53" s="785"/>
      <c r="B53" s="571"/>
      <c r="C53" s="361"/>
      <c r="D53" s="596"/>
      <c r="E53" s="134">
        <f t="shared" si="1"/>
        <v>0</v>
      </c>
      <c r="F53" s="262"/>
      <c r="G53" s="262"/>
      <c r="H53" s="262"/>
      <c r="I53" s="262"/>
      <c r="J53" s="263"/>
      <c r="K53" s="263"/>
      <c r="L53" s="263"/>
      <c r="M53" s="263"/>
      <c r="N53" s="262"/>
      <c r="O53" s="263"/>
      <c r="P53" s="262"/>
      <c r="Q53" s="262"/>
      <c r="R53" s="262"/>
      <c r="S53" s="383"/>
      <c r="T53" s="383"/>
      <c r="U53" s="383"/>
      <c r="V53" s="383"/>
      <c r="W53" s="383"/>
      <c r="X53" s="383"/>
      <c r="Y53" s="383"/>
      <c r="Z53" s="383"/>
      <c r="AA53" s="383"/>
      <c r="AB53" s="383"/>
      <c r="AC53" s="383"/>
      <c r="AD53" s="383"/>
      <c r="AE53" s="260"/>
      <c r="AF53" s="260"/>
      <c r="AG53" s="383"/>
      <c r="AH53" s="383"/>
      <c r="AI53" s="383"/>
      <c r="AJ53" s="383"/>
      <c r="AK53" s="383"/>
      <c r="AL53" s="260"/>
      <c r="AM53" s="389"/>
      <c r="AN53" s="390"/>
      <c r="AO53" s="390"/>
      <c r="AP53" s="390"/>
      <c r="AQ53" s="260"/>
      <c r="AR53" s="260"/>
      <c r="AS53" s="260"/>
      <c r="AT53" s="260"/>
      <c r="AU53" s="260"/>
      <c r="AV53" s="260"/>
      <c r="AW53" s="260"/>
      <c r="AX53" s="260"/>
      <c r="AY53" s="260"/>
      <c r="AZ53" s="260"/>
      <c r="BA53" s="260"/>
      <c r="BC53" s="124"/>
    </row>
    <row r="54" spans="1:55" ht="15.75" customHeight="1">
      <c r="A54" s="785"/>
      <c r="B54" s="577"/>
      <c r="C54" s="361"/>
      <c r="D54" s="596"/>
      <c r="E54" s="134">
        <f t="shared" si="1"/>
        <v>0</v>
      </c>
      <c r="F54" s="262"/>
      <c r="G54" s="263"/>
      <c r="H54" s="263"/>
      <c r="I54" s="263"/>
      <c r="J54" s="263"/>
      <c r="K54" s="263"/>
      <c r="L54" s="263"/>
      <c r="M54" s="263"/>
      <c r="N54" s="262"/>
      <c r="O54" s="263"/>
      <c r="P54" s="262"/>
      <c r="Q54" s="262"/>
      <c r="R54" s="263"/>
      <c r="S54" s="262"/>
      <c r="T54" s="262"/>
      <c r="U54" s="262"/>
      <c r="V54" s="263"/>
      <c r="W54" s="262"/>
      <c r="X54" s="262"/>
      <c r="Y54" s="262"/>
      <c r="Z54" s="262"/>
      <c r="AA54" s="262"/>
      <c r="AB54" s="262"/>
      <c r="AC54" s="262"/>
      <c r="AD54" s="262"/>
      <c r="AE54" s="123"/>
      <c r="AF54" s="123"/>
      <c r="AG54" s="262"/>
      <c r="AH54" s="262"/>
      <c r="AI54" s="262"/>
      <c r="AJ54" s="262"/>
      <c r="AK54" s="262"/>
      <c r="AL54" s="118"/>
      <c r="AM54" s="233"/>
      <c r="AN54" s="9"/>
      <c r="AO54" s="9"/>
      <c r="AP54" s="9"/>
      <c r="AQ54" s="118"/>
      <c r="AR54" s="118"/>
      <c r="AS54" s="118"/>
      <c r="AT54" s="118"/>
      <c r="AU54" s="118"/>
      <c r="AV54" s="118"/>
      <c r="AW54" s="118"/>
      <c r="AX54" s="118"/>
      <c r="AY54" s="118"/>
      <c r="AZ54" s="118"/>
      <c r="BA54" s="118"/>
      <c r="BC54" s="124"/>
    </row>
    <row r="55" spans="1:55" ht="15.75" customHeight="1">
      <c r="A55" s="785"/>
      <c r="B55" s="577"/>
      <c r="C55" s="118"/>
      <c r="D55" s="596"/>
      <c r="E55" s="134">
        <f t="shared" si="1"/>
        <v>0</v>
      </c>
      <c r="F55" s="262"/>
      <c r="G55" s="263"/>
      <c r="H55" s="263"/>
      <c r="I55" s="263"/>
      <c r="J55" s="263"/>
      <c r="K55" s="263"/>
      <c r="L55" s="263"/>
      <c r="M55" s="263"/>
      <c r="N55" s="262"/>
      <c r="O55" s="263"/>
      <c r="P55" s="262"/>
      <c r="Q55" s="262"/>
      <c r="R55" s="263"/>
      <c r="S55" s="262"/>
      <c r="T55" s="262"/>
      <c r="U55" s="262"/>
      <c r="V55" s="263"/>
      <c r="W55" s="262"/>
      <c r="X55" s="262"/>
      <c r="Y55" s="262"/>
      <c r="Z55" s="262"/>
      <c r="AA55" s="262"/>
      <c r="AB55" s="262"/>
      <c r="AC55" s="262"/>
      <c r="AD55" s="262"/>
      <c r="AE55" s="123"/>
      <c r="AF55" s="123"/>
      <c r="AG55" s="262"/>
      <c r="AH55" s="262"/>
      <c r="AI55" s="262"/>
      <c r="AJ55" s="262"/>
      <c r="AK55" s="262"/>
      <c r="AL55" s="118"/>
      <c r="AM55" s="233"/>
      <c r="AN55" s="9"/>
      <c r="AO55" s="9"/>
      <c r="AP55" s="9"/>
      <c r="AQ55" s="118"/>
      <c r="AR55" s="118"/>
      <c r="AS55" s="118"/>
      <c r="AT55" s="118"/>
      <c r="AU55" s="118"/>
      <c r="AV55" s="118"/>
      <c r="AW55" s="118"/>
      <c r="AX55" s="118"/>
      <c r="AY55" s="118"/>
      <c r="AZ55" s="118"/>
      <c r="BA55" s="118"/>
      <c r="BC55" s="124"/>
    </row>
    <row r="56" spans="1:55" ht="15.75" customHeight="1">
      <c r="A56" s="785"/>
      <c r="B56" s="577"/>
      <c r="C56" s="361"/>
      <c r="D56" s="597"/>
      <c r="E56" s="134">
        <f t="shared" si="1"/>
        <v>0</v>
      </c>
      <c r="F56" s="262"/>
      <c r="G56" s="263"/>
      <c r="H56" s="263"/>
      <c r="I56" s="263"/>
      <c r="J56" s="263"/>
      <c r="K56" s="263"/>
      <c r="L56" s="263"/>
      <c r="M56" s="263"/>
      <c r="N56" s="262"/>
      <c r="O56" s="263"/>
      <c r="P56" s="262"/>
      <c r="Q56" s="262"/>
      <c r="R56" s="263"/>
      <c r="S56" s="262"/>
      <c r="T56" s="262"/>
      <c r="U56" s="262"/>
      <c r="V56" s="263"/>
      <c r="W56" s="262"/>
      <c r="X56" s="262"/>
      <c r="Y56" s="262"/>
      <c r="Z56" s="262"/>
      <c r="AA56" s="262"/>
      <c r="AB56" s="262"/>
      <c r="AC56" s="262"/>
      <c r="AD56" s="262"/>
      <c r="AE56" s="123"/>
      <c r="AF56" s="123"/>
      <c r="AG56" s="262"/>
      <c r="AH56" s="262"/>
      <c r="AI56" s="262"/>
      <c r="AJ56" s="262"/>
      <c r="AK56" s="262"/>
      <c r="AL56" s="118"/>
      <c r="AM56" s="233"/>
      <c r="AN56" s="9"/>
      <c r="AO56" s="9"/>
      <c r="AP56" s="9"/>
      <c r="AQ56" s="118"/>
      <c r="AR56" s="118"/>
      <c r="AS56" s="118"/>
      <c r="AT56" s="118"/>
      <c r="AU56" s="118"/>
      <c r="AV56" s="118"/>
      <c r="AW56" s="118"/>
      <c r="AX56" s="118"/>
      <c r="AY56" s="118"/>
      <c r="AZ56" s="118"/>
      <c r="BA56" s="118"/>
      <c r="BC56" s="124"/>
    </row>
    <row r="57" spans="1:55" ht="15.75" customHeight="1">
      <c r="A57" s="785"/>
      <c r="B57" s="577"/>
      <c r="C57" s="361"/>
      <c r="D57" s="596"/>
      <c r="E57" s="134">
        <f t="shared" si="1"/>
        <v>0</v>
      </c>
      <c r="F57" s="262"/>
      <c r="G57" s="263"/>
      <c r="H57" s="263"/>
      <c r="I57" s="263"/>
      <c r="J57" s="263"/>
      <c r="K57" s="263"/>
      <c r="L57" s="263"/>
      <c r="M57" s="263"/>
      <c r="N57" s="262"/>
      <c r="O57" s="263"/>
      <c r="P57" s="262"/>
      <c r="Q57" s="262"/>
      <c r="R57" s="263"/>
      <c r="S57" s="262"/>
      <c r="T57" s="262"/>
      <c r="U57" s="262"/>
      <c r="V57" s="263"/>
      <c r="W57" s="262"/>
      <c r="X57" s="262"/>
      <c r="Y57" s="262"/>
      <c r="Z57" s="262"/>
      <c r="AA57" s="262"/>
      <c r="AB57" s="262"/>
      <c r="AC57" s="262"/>
      <c r="AD57" s="262"/>
      <c r="AE57" s="123"/>
      <c r="AF57" s="123"/>
      <c r="AG57" s="262"/>
      <c r="AH57" s="262"/>
      <c r="AI57" s="262"/>
      <c r="AJ57" s="262"/>
      <c r="AK57" s="262"/>
      <c r="AL57" s="118"/>
      <c r="AM57" s="233"/>
      <c r="AN57" s="9"/>
      <c r="AO57" s="9"/>
      <c r="AP57" s="9"/>
      <c r="AQ57" s="118"/>
      <c r="AR57" s="118"/>
      <c r="AS57" s="118"/>
      <c r="AT57" s="118"/>
      <c r="AU57" s="118"/>
      <c r="AV57" s="118"/>
      <c r="AW57" s="118"/>
      <c r="AX57" s="118"/>
      <c r="AY57" s="118"/>
      <c r="AZ57" s="118"/>
      <c r="BA57" s="118"/>
      <c r="BC57" s="124"/>
    </row>
    <row r="58" spans="1:55" ht="15.75" customHeight="1">
      <c r="A58" s="785"/>
      <c r="B58" s="577"/>
      <c r="C58" s="361"/>
      <c r="D58" s="596"/>
      <c r="E58" s="134">
        <f t="shared" si="1"/>
        <v>0</v>
      </c>
      <c r="F58" s="262"/>
      <c r="G58" s="262"/>
      <c r="H58" s="262"/>
      <c r="I58" s="262"/>
      <c r="J58" s="263"/>
      <c r="K58" s="263"/>
      <c r="L58" s="263"/>
      <c r="M58" s="263"/>
      <c r="N58" s="262"/>
      <c r="O58" s="262"/>
      <c r="P58" s="262"/>
      <c r="Q58" s="262"/>
      <c r="R58" s="262"/>
      <c r="S58" s="262"/>
      <c r="T58" s="262"/>
      <c r="U58" s="262"/>
      <c r="V58" s="262"/>
      <c r="W58" s="262"/>
      <c r="X58" s="262"/>
      <c r="Y58" s="262"/>
      <c r="Z58" s="262"/>
      <c r="AA58" s="262"/>
      <c r="AB58" s="262"/>
      <c r="AC58" s="262"/>
      <c r="AD58" s="262"/>
      <c r="AE58" s="123"/>
      <c r="AF58" s="123"/>
      <c r="AG58" s="262"/>
      <c r="AH58" s="262"/>
      <c r="AI58" s="262"/>
      <c r="AJ58" s="262"/>
      <c r="AK58" s="262"/>
      <c r="AL58" s="118"/>
      <c r="AM58" s="233"/>
      <c r="AN58" s="9"/>
      <c r="AO58" s="9"/>
      <c r="AP58" s="9"/>
      <c r="AQ58" s="118"/>
      <c r="AR58" s="118"/>
      <c r="AS58" s="118"/>
      <c r="AT58" s="118"/>
      <c r="AU58" s="118"/>
      <c r="AV58" s="118"/>
      <c r="AW58" s="118"/>
      <c r="AX58" s="118"/>
      <c r="AY58" s="118"/>
      <c r="AZ58" s="118"/>
      <c r="BA58" s="118"/>
      <c r="BC58" s="124"/>
    </row>
    <row r="59" spans="1:55" ht="15.75" customHeight="1">
      <c r="A59" s="788"/>
      <c r="B59" s="577"/>
      <c r="C59" s="361"/>
      <c r="D59" s="596"/>
      <c r="E59" s="134">
        <f t="shared" si="1"/>
        <v>0</v>
      </c>
      <c r="F59" s="385"/>
      <c r="G59" s="385"/>
      <c r="H59" s="385"/>
      <c r="I59" s="385"/>
      <c r="J59" s="385"/>
      <c r="K59" s="385"/>
      <c r="L59" s="385"/>
      <c r="M59" s="385"/>
      <c r="N59" s="385"/>
      <c r="O59" s="385"/>
      <c r="P59" s="385"/>
      <c r="Q59" s="385"/>
      <c r="R59" s="385"/>
      <c r="S59" s="385"/>
      <c r="T59" s="385"/>
      <c r="U59" s="385"/>
      <c r="V59" s="385"/>
      <c r="W59" s="385"/>
      <c r="X59" s="385"/>
      <c r="Y59" s="385"/>
      <c r="Z59" s="385"/>
      <c r="AA59" s="385"/>
      <c r="AB59" s="385"/>
      <c r="AC59" s="385"/>
      <c r="AD59" s="385"/>
      <c r="AE59" s="385"/>
      <c r="AF59" s="385"/>
      <c r="AG59" s="385"/>
      <c r="AH59" s="385"/>
      <c r="AI59" s="385"/>
      <c r="AJ59" s="385"/>
      <c r="AK59" s="385"/>
      <c r="AL59" s="118"/>
      <c r="AM59" s="233"/>
      <c r="AN59" s="9"/>
      <c r="AO59" s="9"/>
      <c r="AP59" s="9"/>
      <c r="AQ59" s="118"/>
      <c r="AR59" s="118"/>
      <c r="AS59" s="118"/>
      <c r="AT59" s="118"/>
      <c r="AU59" s="118"/>
      <c r="AV59" s="118"/>
      <c r="AW59" s="118"/>
      <c r="AX59" s="118"/>
      <c r="AY59" s="118"/>
      <c r="AZ59" s="118"/>
      <c r="BA59" s="118"/>
      <c r="BC59" s="126"/>
    </row>
    <row r="60" spans="1:55" ht="15.75" customHeight="1">
      <c r="A60" s="786" t="s">
        <v>68</v>
      </c>
      <c r="B60" s="575" t="s">
        <v>830</v>
      </c>
      <c r="C60" s="362"/>
      <c r="D60" s="596" t="s">
        <v>831</v>
      </c>
      <c r="E60" s="134">
        <f t="shared" si="1"/>
        <v>4</v>
      </c>
      <c r="F60" s="385"/>
      <c r="G60" s="385"/>
      <c r="H60" s="385"/>
      <c r="I60" s="385"/>
      <c r="J60" s="385"/>
      <c r="K60" s="385"/>
      <c r="L60" s="385"/>
      <c r="M60" s="385"/>
      <c r="N60" s="385"/>
      <c r="O60" s="385"/>
      <c r="P60" s="385"/>
      <c r="Q60" s="385"/>
      <c r="R60" s="385"/>
      <c r="S60" s="385"/>
      <c r="T60" s="385"/>
      <c r="U60" s="385" t="s">
        <v>482</v>
      </c>
      <c r="V60" s="385"/>
      <c r="W60" s="385"/>
      <c r="X60" s="385" t="s">
        <v>482</v>
      </c>
      <c r="Y60" s="385"/>
      <c r="Z60" s="385"/>
      <c r="AA60" s="385"/>
      <c r="AB60" s="385"/>
      <c r="AC60" s="385"/>
      <c r="AD60" s="385"/>
      <c r="AE60" s="385" t="s">
        <v>482</v>
      </c>
      <c r="AF60" s="385"/>
      <c r="AG60" s="385" t="s">
        <v>482</v>
      </c>
      <c r="AH60" s="385"/>
      <c r="AI60" s="385"/>
      <c r="AJ60" s="385"/>
      <c r="AK60" s="385"/>
      <c r="AL60" s="385"/>
      <c r="AM60" s="391"/>
      <c r="AN60" s="388"/>
      <c r="AO60" s="388"/>
      <c r="AP60" s="388"/>
      <c r="AQ60" s="385"/>
      <c r="AR60" s="385"/>
      <c r="AS60" s="385"/>
      <c r="AT60" s="385"/>
      <c r="AU60" s="385"/>
      <c r="AV60" s="385"/>
      <c r="AW60" s="385"/>
      <c r="AX60" s="385"/>
      <c r="AY60" s="385"/>
      <c r="AZ60" s="385"/>
      <c r="BA60" s="385"/>
      <c r="BC60" s="126"/>
    </row>
    <row r="61" spans="1:55" ht="15.75" customHeight="1">
      <c r="A61" s="786"/>
      <c r="B61" s="576"/>
      <c r="C61" s="118"/>
      <c r="D61" s="597"/>
      <c r="E61" s="134">
        <f t="shared" si="1"/>
        <v>0</v>
      </c>
      <c r="F61" s="264"/>
      <c r="G61" s="264"/>
      <c r="H61" s="264"/>
      <c r="I61" s="264"/>
      <c r="J61" s="265"/>
      <c r="K61" s="265"/>
      <c r="L61" s="265"/>
      <c r="M61" s="265"/>
      <c r="N61" s="264"/>
      <c r="O61" s="264"/>
      <c r="P61" s="264"/>
      <c r="Q61" s="264"/>
      <c r="R61" s="264"/>
      <c r="S61" s="264"/>
      <c r="T61" s="264"/>
      <c r="U61" s="264"/>
      <c r="V61" s="264"/>
      <c r="W61" s="264"/>
      <c r="X61" s="264"/>
      <c r="Y61" s="264"/>
      <c r="Z61" s="264"/>
      <c r="AA61" s="264"/>
      <c r="AB61" s="264"/>
      <c r="AC61" s="264"/>
      <c r="AD61" s="264"/>
      <c r="AE61" s="261"/>
      <c r="AF61" s="261"/>
      <c r="AG61" s="264"/>
      <c r="AH61" s="264"/>
      <c r="AI61" s="264"/>
      <c r="AJ61" s="264"/>
      <c r="AK61" s="264"/>
      <c r="AL61" s="127"/>
      <c r="AM61" s="235"/>
      <c r="AN61" s="9"/>
      <c r="AO61" s="9"/>
      <c r="AP61" s="9"/>
      <c r="AQ61" s="127"/>
      <c r="AR61" s="127"/>
      <c r="AS61" s="127"/>
      <c r="AT61" s="127"/>
      <c r="AU61" s="127"/>
      <c r="AV61" s="127"/>
      <c r="AW61" s="127"/>
      <c r="AX61" s="127"/>
      <c r="AY61" s="127"/>
      <c r="AZ61" s="127"/>
      <c r="BA61" s="127"/>
      <c r="BC61" s="126"/>
    </row>
    <row r="62" spans="1:55" ht="15.75" customHeight="1">
      <c r="A62" s="786"/>
      <c r="B62" s="576"/>
      <c r="C62" s="118"/>
      <c r="D62" s="596"/>
      <c r="E62" s="134">
        <f t="shared" si="1"/>
        <v>0</v>
      </c>
      <c r="F62" s="264"/>
      <c r="G62" s="264"/>
      <c r="H62" s="264"/>
      <c r="I62" s="264"/>
      <c r="J62" s="265"/>
      <c r="K62" s="265"/>
      <c r="L62" s="265"/>
      <c r="M62" s="265"/>
      <c r="N62" s="264"/>
      <c r="O62" s="264"/>
      <c r="P62" s="264"/>
      <c r="Q62" s="264"/>
      <c r="R62" s="264"/>
      <c r="S62" s="264"/>
      <c r="T62" s="264"/>
      <c r="U62" s="264"/>
      <c r="V62" s="264"/>
      <c r="W62" s="264"/>
      <c r="X62" s="264"/>
      <c r="Y62" s="264"/>
      <c r="Z62" s="264"/>
      <c r="AA62" s="264"/>
      <c r="AB62" s="264"/>
      <c r="AC62" s="264"/>
      <c r="AD62" s="264"/>
      <c r="AE62" s="261"/>
      <c r="AF62" s="261"/>
      <c r="AG62" s="264"/>
      <c r="AH62" s="264"/>
      <c r="AI62" s="264"/>
      <c r="AJ62" s="264"/>
      <c r="AK62" s="264"/>
      <c r="AL62" s="127"/>
      <c r="AM62" s="235"/>
      <c r="AN62" s="9"/>
      <c r="AO62" s="9"/>
      <c r="AP62" s="9"/>
      <c r="AQ62" s="127"/>
      <c r="AR62" s="127"/>
      <c r="AS62" s="127"/>
      <c r="AT62" s="127"/>
      <c r="AU62" s="127"/>
      <c r="AV62" s="127"/>
      <c r="AW62" s="127"/>
      <c r="AX62" s="127"/>
      <c r="AY62" s="127"/>
      <c r="AZ62" s="127"/>
      <c r="BA62" s="127"/>
      <c r="BC62" s="126"/>
    </row>
    <row r="63" spans="1:55" ht="15.75" customHeight="1">
      <c r="A63" s="786"/>
      <c r="B63" s="576"/>
      <c r="C63" s="118"/>
      <c r="D63" s="597"/>
      <c r="E63" s="134">
        <f t="shared" si="1"/>
        <v>0</v>
      </c>
      <c r="F63" s="264"/>
      <c r="G63" s="264"/>
      <c r="H63" s="264"/>
      <c r="I63" s="264"/>
      <c r="J63" s="265"/>
      <c r="K63" s="265"/>
      <c r="L63" s="265"/>
      <c r="M63" s="265"/>
      <c r="N63" s="264"/>
      <c r="O63" s="264"/>
      <c r="P63" s="264"/>
      <c r="Q63" s="264"/>
      <c r="R63" s="264"/>
      <c r="S63" s="264"/>
      <c r="T63" s="264"/>
      <c r="U63" s="264"/>
      <c r="V63" s="264"/>
      <c r="W63" s="264"/>
      <c r="X63" s="264"/>
      <c r="Y63" s="264"/>
      <c r="Z63" s="264"/>
      <c r="AA63" s="264"/>
      <c r="AB63" s="264"/>
      <c r="AC63" s="264"/>
      <c r="AD63" s="264"/>
      <c r="AE63" s="261"/>
      <c r="AF63" s="261"/>
      <c r="AG63" s="264"/>
      <c r="AH63" s="264"/>
      <c r="AI63" s="264"/>
      <c r="AJ63" s="264"/>
      <c r="AK63" s="264"/>
      <c r="AL63" s="127"/>
      <c r="AM63" s="235"/>
      <c r="AN63" s="9"/>
      <c r="AO63" s="9"/>
      <c r="AP63" s="9"/>
      <c r="AQ63" s="127"/>
      <c r="AR63" s="127"/>
      <c r="AS63" s="127"/>
      <c r="AT63" s="127"/>
      <c r="AU63" s="127"/>
      <c r="AV63" s="127"/>
      <c r="AW63" s="127"/>
      <c r="AX63" s="127"/>
      <c r="AY63" s="127"/>
      <c r="AZ63" s="127"/>
      <c r="BA63" s="127"/>
      <c r="BC63" s="126"/>
    </row>
    <row r="64" spans="1:55" ht="15.75" customHeight="1">
      <c r="A64" s="786"/>
      <c r="B64" s="576"/>
      <c r="C64" s="361"/>
      <c r="D64" s="597"/>
      <c r="E64" s="134">
        <f t="shared" si="1"/>
        <v>0</v>
      </c>
      <c r="F64" s="264"/>
      <c r="G64" s="264"/>
      <c r="H64" s="264"/>
      <c r="I64" s="264"/>
      <c r="J64" s="265"/>
      <c r="K64" s="265"/>
      <c r="L64" s="265"/>
      <c r="M64" s="265"/>
      <c r="N64" s="264"/>
      <c r="O64" s="264"/>
      <c r="P64" s="264"/>
      <c r="Q64" s="264"/>
      <c r="R64" s="264"/>
      <c r="S64" s="264"/>
      <c r="T64" s="264"/>
      <c r="U64" s="264"/>
      <c r="V64" s="264"/>
      <c r="W64" s="264"/>
      <c r="X64" s="264"/>
      <c r="Y64" s="264"/>
      <c r="Z64" s="264"/>
      <c r="AA64" s="264"/>
      <c r="AB64" s="264"/>
      <c r="AC64" s="264"/>
      <c r="AD64" s="264"/>
      <c r="AE64" s="261"/>
      <c r="AF64" s="261"/>
      <c r="AG64" s="264"/>
      <c r="AH64" s="264"/>
      <c r="AI64" s="264"/>
      <c r="AJ64" s="264"/>
      <c r="AK64" s="264"/>
      <c r="AL64" s="127"/>
      <c r="AM64" s="235"/>
      <c r="AN64" s="9"/>
      <c r="AO64" s="9"/>
      <c r="AP64" s="9"/>
      <c r="AQ64" s="127"/>
      <c r="AR64" s="127"/>
      <c r="AS64" s="127"/>
      <c r="AT64" s="127"/>
      <c r="AU64" s="127"/>
      <c r="AV64" s="127"/>
      <c r="AW64" s="127"/>
      <c r="AX64" s="127"/>
      <c r="AY64" s="127"/>
      <c r="AZ64" s="127"/>
      <c r="BA64" s="127"/>
      <c r="BC64" s="126"/>
    </row>
    <row r="65" spans="1:55" ht="15.75" customHeight="1">
      <c r="A65" s="786"/>
      <c r="B65" s="576"/>
      <c r="C65" s="361"/>
      <c r="D65" s="596"/>
      <c r="E65" s="134">
        <f t="shared" si="1"/>
        <v>0</v>
      </c>
      <c r="F65" s="264"/>
      <c r="G65" s="264"/>
      <c r="H65" s="264"/>
      <c r="I65" s="264"/>
      <c r="J65" s="265"/>
      <c r="K65" s="265"/>
      <c r="L65" s="265"/>
      <c r="M65" s="265"/>
      <c r="N65" s="264"/>
      <c r="O65" s="264"/>
      <c r="P65" s="264"/>
      <c r="Q65" s="264"/>
      <c r="R65" s="264"/>
      <c r="S65" s="264"/>
      <c r="T65" s="264"/>
      <c r="U65" s="264"/>
      <c r="V65" s="264"/>
      <c r="W65" s="264"/>
      <c r="X65" s="264"/>
      <c r="Y65" s="264"/>
      <c r="Z65" s="264"/>
      <c r="AA65" s="264"/>
      <c r="AB65" s="264"/>
      <c r="AC65" s="264"/>
      <c r="AD65" s="264"/>
      <c r="AE65" s="261"/>
      <c r="AF65" s="261"/>
      <c r="AG65" s="264"/>
      <c r="AH65" s="264"/>
      <c r="AI65" s="264"/>
      <c r="AJ65" s="264"/>
      <c r="AK65" s="264"/>
      <c r="AL65" s="127"/>
      <c r="AM65" s="235"/>
      <c r="AN65" s="9"/>
      <c r="AO65" s="9"/>
      <c r="AP65" s="9"/>
      <c r="AQ65" s="127"/>
      <c r="AR65" s="127"/>
      <c r="AS65" s="127"/>
      <c r="AT65" s="127"/>
      <c r="AU65" s="127"/>
      <c r="AV65" s="127"/>
      <c r="AW65" s="127"/>
      <c r="AX65" s="127"/>
      <c r="AY65" s="127"/>
      <c r="AZ65" s="127"/>
      <c r="BA65" s="127"/>
      <c r="BC65" s="126"/>
    </row>
    <row r="66" spans="1:55" ht="15.75" customHeight="1">
      <c r="A66" s="786"/>
      <c r="B66" s="576"/>
      <c r="C66" s="361"/>
      <c r="D66" s="596"/>
      <c r="E66" s="134">
        <f t="shared" si="1"/>
        <v>0</v>
      </c>
      <c r="F66" s="262"/>
      <c r="G66" s="262"/>
      <c r="H66" s="262"/>
      <c r="I66" s="262"/>
      <c r="J66" s="263"/>
      <c r="K66" s="263"/>
      <c r="L66" s="263"/>
      <c r="M66" s="263"/>
      <c r="N66" s="262"/>
      <c r="O66" s="262"/>
      <c r="P66" s="262"/>
      <c r="Q66" s="262"/>
      <c r="R66" s="262"/>
      <c r="S66" s="262"/>
      <c r="T66" s="262"/>
      <c r="U66" s="262"/>
      <c r="V66" s="262"/>
      <c r="W66" s="262"/>
      <c r="X66" s="262"/>
      <c r="Y66" s="262"/>
      <c r="Z66" s="262"/>
      <c r="AA66" s="262"/>
      <c r="AB66" s="262"/>
      <c r="AC66" s="262"/>
      <c r="AD66" s="262"/>
      <c r="AE66" s="123"/>
      <c r="AF66" s="123"/>
      <c r="AG66" s="262"/>
      <c r="AH66" s="262"/>
      <c r="AI66" s="262"/>
      <c r="AJ66" s="262"/>
      <c r="AK66" s="262"/>
      <c r="AL66" s="127"/>
      <c r="AM66" s="235"/>
      <c r="AN66" s="9"/>
      <c r="AO66" s="9"/>
      <c r="AP66" s="9"/>
      <c r="AQ66" s="127"/>
      <c r="AR66" s="127"/>
      <c r="AS66" s="127"/>
      <c r="AT66" s="127"/>
      <c r="AU66" s="127"/>
      <c r="AV66" s="127"/>
      <c r="AW66" s="127"/>
      <c r="AX66" s="127"/>
      <c r="AY66" s="127"/>
      <c r="AZ66" s="127"/>
      <c r="BA66" s="127"/>
      <c r="BC66" s="126"/>
    </row>
    <row r="67" spans="1:55" ht="15.75" customHeight="1">
      <c r="A67" s="787"/>
      <c r="B67" s="576"/>
      <c r="C67" s="118"/>
      <c r="D67" s="596"/>
      <c r="E67" s="134">
        <f t="shared" si="1"/>
        <v>0</v>
      </c>
      <c r="F67" s="264"/>
      <c r="G67" s="264"/>
      <c r="H67" s="264"/>
      <c r="I67" s="264"/>
      <c r="J67" s="265"/>
      <c r="K67" s="265"/>
      <c r="L67" s="265"/>
      <c r="M67" s="265"/>
      <c r="N67" s="264"/>
      <c r="O67" s="264"/>
      <c r="P67" s="264"/>
      <c r="Q67" s="264"/>
      <c r="R67" s="264"/>
      <c r="S67" s="264"/>
      <c r="T67" s="264"/>
      <c r="U67" s="264"/>
      <c r="V67" s="264"/>
      <c r="W67" s="264"/>
      <c r="X67" s="264"/>
      <c r="Y67" s="264"/>
      <c r="Z67" s="264"/>
      <c r="AA67" s="264"/>
      <c r="AB67" s="264"/>
      <c r="AC67" s="264"/>
      <c r="AD67" s="264"/>
      <c r="AE67" s="261"/>
      <c r="AF67" s="261"/>
      <c r="AG67" s="264"/>
      <c r="AH67" s="264"/>
      <c r="AI67" s="264"/>
      <c r="AJ67" s="264"/>
      <c r="AK67" s="264"/>
      <c r="AL67" s="118"/>
      <c r="AM67" s="233"/>
      <c r="AN67" s="9"/>
      <c r="AO67" s="9"/>
      <c r="AP67" s="9"/>
      <c r="AQ67" s="118"/>
      <c r="AR67" s="118"/>
      <c r="AS67" s="118"/>
      <c r="AT67" s="118"/>
      <c r="AU67" s="118"/>
      <c r="AV67" s="118"/>
      <c r="AW67" s="118"/>
      <c r="AX67" s="118"/>
      <c r="AY67" s="118"/>
      <c r="AZ67" s="118"/>
      <c r="BA67" s="118"/>
      <c r="BC67" s="126"/>
    </row>
    <row r="68" spans="1:55" ht="15.75">
      <c r="A68" s="793" t="s">
        <v>478</v>
      </c>
      <c r="B68" s="582" t="s">
        <v>545</v>
      </c>
      <c r="C68" s="118"/>
      <c r="D68" s="596" t="s">
        <v>546</v>
      </c>
      <c r="E68" s="134">
        <f t="shared" si="1"/>
        <v>4</v>
      </c>
      <c r="F68" s="1015"/>
      <c r="G68" s="1015"/>
      <c r="H68" s="1015"/>
      <c r="I68" s="1015"/>
      <c r="J68" s="1015"/>
      <c r="K68" s="1015"/>
      <c r="L68" s="1015"/>
      <c r="M68" s="1015"/>
      <c r="N68" s="1015" t="s">
        <v>482</v>
      </c>
      <c r="O68" s="1015"/>
      <c r="P68" s="1015"/>
      <c r="Q68" s="1015"/>
      <c r="R68" s="1015"/>
      <c r="S68" s="1015"/>
      <c r="T68" s="1015"/>
      <c r="U68" s="1015"/>
      <c r="V68" s="1015" t="s">
        <v>482</v>
      </c>
      <c r="W68" s="1015" t="s">
        <v>482</v>
      </c>
      <c r="X68" s="1015"/>
      <c r="Y68" s="1015"/>
      <c r="Z68" s="1015"/>
      <c r="AA68" s="1015"/>
      <c r="AB68" s="1015"/>
      <c r="AC68" s="1015"/>
      <c r="AD68" s="1015"/>
      <c r="AE68" s="551"/>
      <c r="AF68" s="551"/>
      <c r="AG68" s="1015"/>
      <c r="AH68" s="1015"/>
      <c r="AI68" s="1015" t="s">
        <v>482</v>
      </c>
      <c r="AJ68" s="1015"/>
      <c r="AK68" s="1015"/>
      <c r="AL68" s="1016"/>
      <c r="AM68" s="1017"/>
      <c r="AN68" s="386"/>
      <c r="AO68" s="386"/>
      <c r="AP68" s="386"/>
      <c r="AQ68" s="1016"/>
      <c r="AR68" s="1016"/>
      <c r="AS68" s="1016"/>
      <c r="AT68" s="1016"/>
      <c r="AU68" s="1016"/>
      <c r="AV68" s="1016"/>
      <c r="AW68" s="1016"/>
      <c r="AX68" s="1016"/>
      <c r="AY68" s="1016"/>
      <c r="AZ68" s="1016"/>
      <c r="BA68" s="1016"/>
      <c r="BC68" s="126"/>
    </row>
    <row r="69" spans="1:55" ht="15.75" customHeight="1">
      <c r="A69" s="794"/>
      <c r="B69" s="574"/>
      <c r="C69" s="118"/>
      <c r="D69" s="597"/>
      <c r="E69" s="134">
        <f t="shared" ref="E69:E117" si="2">COUNTA(F69:AK69)</f>
        <v>0</v>
      </c>
      <c r="F69" s="262"/>
      <c r="G69" s="262"/>
      <c r="H69" s="262"/>
      <c r="I69" s="262"/>
      <c r="J69" s="263"/>
      <c r="K69" s="263"/>
      <c r="L69" s="263"/>
      <c r="M69" s="263"/>
      <c r="N69" s="262"/>
      <c r="O69" s="262"/>
      <c r="P69" s="262"/>
      <c r="Q69" s="262"/>
      <c r="R69" s="262"/>
      <c r="S69" s="262"/>
      <c r="T69" s="262"/>
      <c r="U69" s="262"/>
      <c r="V69" s="262"/>
      <c r="W69" s="262"/>
      <c r="X69" s="262"/>
      <c r="Y69" s="262"/>
      <c r="Z69" s="262"/>
      <c r="AA69" s="262"/>
      <c r="AB69" s="262"/>
      <c r="AC69" s="262"/>
      <c r="AD69" s="262"/>
      <c r="AE69" s="123"/>
      <c r="AF69" s="123"/>
      <c r="AG69" s="262"/>
      <c r="AH69" s="262"/>
      <c r="AI69" s="262"/>
      <c r="AJ69" s="262"/>
      <c r="AK69" s="262"/>
      <c r="AL69" s="127"/>
      <c r="AM69" s="235"/>
      <c r="AN69" s="9"/>
      <c r="AO69" s="9"/>
      <c r="AP69" s="9"/>
      <c r="AQ69" s="127"/>
      <c r="AR69" s="127"/>
      <c r="AS69" s="127"/>
      <c r="AT69" s="127"/>
      <c r="AU69" s="127"/>
      <c r="AV69" s="127"/>
      <c r="AW69" s="127"/>
      <c r="AX69" s="127"/>
      <c r="AY69" s="127"/>
      <c r="AZ69" s="127"/>
      <c r="BA69" s="127"/>
      <c r="BC69" s="126"/>
    </row>
    <row r="70" spans="1:55" ht="15.75" customHeight="1">
      <c r="A70" s="794"/>
      <c r="B70" s="574"/>
      <c r="C70" s="118"/>
      <c r="D70" s="597"/>
      <c r="E70" s="134">
        <f t="shared" si="2"/>
        <v>0</v>
      </c>
      <c r="F70" s="264"/>
      <c r="G70" s="264"/>
      <c r="H70" s="264"/>
      <c r="I70" s="264"/>
      <c r="J70" s="265"/>
      <c r="K70" s="265"/>
      <c r="L70" s="265"/>
      <c r="M70" s="265"/>
      <c r="N70" s="264"/>
      <c r="O70" s="264"/>
      <c r="P70" s="264"/>
      <c r="Q70" s="264"/>
      <c r="R70" s="264"/>
      <c r="S70" s="264"/>
      <c r="T70" s="264"/>
      <c r="U70" s="264"/>
      <c r="V70" s="264"/>
      <c r="W70" s="264"/>
      <c r="X70" s="264"/>
      <c r="Y70" s="264"/>
      <c r="Z70" s="264"/>
      <c r="AA70" s="264"/>
      <c r="AB70" s="264"/>
      <c r="AC70" s="264"/>
      <c r="AD70" s="264"/>
      <c r="AE70" s="261"/>
      <c r="AF70" s="261"/>
      <c r="AG70" s="264"/>
      <c r="AH70" s="264"/>
      <c r="AI70" s="264"/>
      <c r="AJ70" s="264"/>
      <c r="AK70" s="264"/>
      <c r="AL70" s="127"/>
      <c r="AM70" s="235"/>
      <c r="AN70" s="9"/>
      <c r="AO70" s="9"/>
      <c r="AP70" s="9"/>
      <c r="AQ70" s="127"/>
      <c r="AR70" s="127"/>
      <c r="AS70" s="127"/>
      <c r="AT70" s="127"/>
      <c r="AU70" s="127"/>
      <c r="AV70" s="127"/>
      <c r="AW70" s="127"/>
      <c r="AX70" s="127"/>
      <c r="AY70" s="127"/>
      <c r="AZ70" s="127"/>
      <c r="BA70" s="127"/>
      <c r="BC70" s="126"/>
    </row>
    <row r="71" spans="1:55" ht="15.75" customHeight="1">
      <c r="A71" s="794"/>
      <c r="B71" s="574"/>
      <c r="C71" s="118"/>
      <c r="D71" s="597"/>
      <c r="E71" s="134">
        <f t="shared" si="2"/>
        <v>0</v>
      </c>
      <c r="F71" s="264"/>
      <c r="G71" s="264"/>
      <c r="H71" s="264"/>
      <c r="I71" s="264"/>
      <c r="J71" s="265"/>
      <c r="K71" s="265"/>
      <c r="L71" s="265"/>
      <c r="M71" s="265"/>
      <c r="N71" s="264"/>
      <c r="O71" s="264"/>
      <c r="P71" s="264"/>
      <c r="Q71" s="264"/>
      <c r="R71" s="264"/>
      <c r="S71" s="264"/>
      <c r="T71" s="264"/>
      <c r="U71" s="264"/>
      <c r="V71" s="264"/>
      <c r="W71" s="264"/>
      <c r="X71" s="264"/>
      <c r="Y71" s="264"/>
      <c r="Z71" s="264"/>
      <c r="AA71" s="264"/>
      <c r="AB71" s="264"/>
      <c r="AC71" s="264"/>
      <c r="AD71" s="264"/>
      <c r="AE71" s="261"/>
      <c r="AF71" s="261"/>
      <c r="AG71" s="264"/>
      <c r="AH71" s="264"/>
      <c r="AI71" s="264"/>
      <c r="AJ71" s="264"/>
      <c r="AK71" s="264"/>
      <c r="AL71" s="127"/>
      <c r="AM71" s="235"/>
      <c r="AN71" s="9"/>
      <c r="AO71" s="9"/>
      <c r="AP71" s="9"/>
      <c r="AQ71" s="127"/>
      <c r="AR71" s="127"/>
      <c r="AS71" s="127"/>
      <c r="AT71" s="127"/>
      <c r="AU71" s="127"/>
      <c r="AV71" s="127"/>
      <c r="AW71" s="127"/>
      <c r="AX71" s="127"/>
      <c r="AY71" s="127"/>
      <c r="AZ71" s="127"/>
      <c r="BA71" s="127"/>
      <c r="BC71" s="126"/>
    </row>
    <row r="72" spans="1:55" ht="15.75" customHeight="1">
      <c r="A72" s="794"/>
      <c r="B72" s="574"/>
      <c r="C72" s="118"/>
      <c r="D72" s="597"/>
      <c r="E72" s="134">
        <f t="shared" si="2"/>
        <v>0</v>
      </c>
      <c r="F72" s="264"/>
      <c r="G72" s="264"/>
      <c r="H72" s="264"/>
      <c r="I72" s="264"/>
      <c r="J72" s="265"/>
      <c r="K72" s="265"/>
      <c r="L72" s="265"/>
      <c r="M72" s="265"/>
      <c r="N72" s="264"/>
      <c r="O72" s="264"/>
      <c r="P72" s="264"/>
      <c r="Q72" s="264"/>
      <c r="R72" s="264"/>
      <c r="S72" s="264"/>
      <c r="T72" s="264"/>
      <c r="U72" s="264"/>
      <c r="V72" s="264"/>
      <c r="W72" s="264"/>
      <c r="X72" s="264"/>
      <c r="Y72" s="264"/>
      <c r="Z72" s="264"/>
      <c r="AA72" s="264"/>
      <c r="AB72" s="264"/>
      <c r="AC72" s="264"/>
      <c r="AD72" s="264"/>
      <c r="AE72" s="261"/>
      <c r="AF72" s="261"/>
      <c r="AG72" s="264"/>
      <c r="AH72" s="264"/>
      <c r="AI72" s="264"/>
      <c r="AJ72" s="264"/>
      <c r="AK72" s="264"/>
      <c r="AL72" s="127"/>
      <c r="AM72" s="235"/>
      <c r="AN72" s="9"/>
      <c r="AO72" s="9"/>
      <c r="AP72" s="9"/>
      <c r="AQ72" s="127"/>
      <c r="AR72" s="127"/>
      <c r="AS72" s="127"/>
      <c r="AT72" s="127"/>
      <c r="AU72" s="127"/>
      <c r="AV72" s="127"/>
      <c r="AW72" s="127"/>
      <c r="AX72" s="127"/>
      <c r="AY72" s="127"/>
      <c r="AZ72" s="127"/>
      <c r="BA72" s="127"/>
      <c r="BC72" s="126"/>
    </row>
    <row r="73" spans="1:55" ht="15.75" customHeight="1">
      <c r="A73" s="794"/>
      <c r="B73" s="574"/>
      <c r="C73" s="118"/>
      <c r="D73" s="597"/>
      <c r="E73" s="134">
        <f t="shared" si="2"/>
        <v>0</v>
      </c>
      <c r="F73" s="264"/>
      <c r="G73" s="264"/>
      <c r="H73" s="264"/>
      <c r="I73" s="264"/>
      <c r="J73" s="265"/>
      <c r="K73" s="265"/>
      <c r="L73" s="265"/>
      <c r="M73" s="265"/>
      <c r="N73" s="264"/>
      <c r="O73" s="264"/>
      <c r="P73" s="264"/>
      <c r="Q73" s="264"/>
      <c r="R73" s="264"/>
      <c r="S73" s="264"/>
      <c r="T73" s="264"/>
      <c r="U73" s="264"/>
      <c r="V73" s="264"/>
      <c r="W73" s="264"/>
      <c r="X73" s="264"/>
      <c r="Y73" s="264"/>
      <c r="Z73" s="264"/>
      <c r="AA73" s="264"/>
      <c r="AB73" s="264"/>
      <c r="AC73" s="264"/>
      <c r="AD73" s="264"/>
      <c r="AE73" s="261"/>
      <c r="AF73" s="261"/>
      <c r="AG73" s="264"/>
      <c r="AH73" s="264"/>
      <c r="AI73" s="264"/>
      <c r="AJ73" s="264"/>
      <c r="AK73" s="264"/>
      <c r="AL73" s="127"/>
      <c r="AM73" s="235"/>
      <c r="AN73" s="9"/>
      <c r="AO73" s="9"/>
      <c r="AP73" s="9"/>
      <c r="AQ73" s="127"/>
      <c r="AR73" s="127"/>
      <c r="AS73" s="127"/>
      <c r="AT73" s="127"/>
      <c r="AU73" s="127"/>
      <c r="AV73" s="127"/>
      <c r="AW73" s="127"/>
      <c r="AX73" s="127"/>
      <c r="AY73" s="127"/>
      <c r="AZ73" s="127"/>
      <c r="BA73" s="127"/>
      <c r="BC73" s="126"/>
    </row>
    <row r="74" spans="1:55" ht="15.75" customHeight="1">
      <c r="A74" s="794"/>
      <c r="B74" s="574"/>
      <c r="C74" s="118"/>
      <c r="D74" s="597"/>
      <c r="E74" s="134">
        <f t="shared" si="2"/>
        <v>0</v>
      </c>
      <c r="F74" s="262"/>
      <c r="G74" s="262"/>
      <c r="H74" s="262"/>
      <c r="I74" s="262"/>
      <c r="J74" s="263"/>
      <c r="K74" s="263"/>
      <c r="L74" s="263"/>
      <c r="M74" s="263"/>
      <c r="N74" s="262"/>
      <c r="O74" s="262"/>
      <c r="P74" s="262"/>
      <c r="Q74" s="262"/>
      <c r="R74" s="262"/>
      <c r="S74" s="262"/>
      <c r="T74" s="262"/>
      <c r="U74" s="262"/>
      <c r="V74" s="262"/>
      <c r="W74" s="262"/>
      <c r="X74" s="262"/>
      <c r="Y74" s="262"/>
      <c r="Z74" s="262"/>
      <c r="AA74" s="262"/>
      <c r="AB74" s="262"/>
      <c r="AC74" s="262"/>
      <c r="AD74" s="262"/>
      <c r="AE74" s="123"/>
      <c r="AF74" s="123"/>
      <c r="AG74" s="262"/>
      <c r="AH74" s="262"/>
      <c r="AI74" s="262"/>
      <c r="AJ74" s="262"/>
      <c r="AK74" s="262"/>
      <c r="AL74" s="127"/>
      <c r="AM74" s="235"/>
      <c r="AN74" s="9"/>
      <c r="AO74" s="9"/>
      <c r="AP74" s="9"/>
      <c r="AQ74" s="127"/>
      <c r="AR74" s="127"/>
      <c r="AS74" s="127"/>
      <c r="AT74" s="127"/>
      <c r="AU74" s="127"/>
      <c r="AV74" s="127"/>
      <c r="AW74" s="127"/>
      <c r="AX74" s="127"/>
      <c r="AY74" s="127"/>
      <c r="AZ74" s="127"/>
      <c r="BA74" s="127"/>
      <c r="BC74" s="126"/>
    </row>
    <row r="75" spans="1:55" ht="15.75" customHeight="1">
      <c r="A75" s="795"/>
      <c r="B75" s="574"/>
      <c r="C75" s="361"/>
      <c r="D75" s="596"/>
      <c r="E75" s="134">
        <f t="shared" si="2"/>
        <v>0</v>
      </c>
      <c r="F75" s="382"/>
      <c r="G75" s="382"/>
      <c r="H75" s="382"/>
      <c r="I75" s="382"/>
      <c r="J75" s="383"/>
      <c r="K75" s="383"/>
      <c r="L75" s="383"/>
      <c r="M75" s="383"/>
      <c r="N75" s="382"/>
      <c r="O75" s="382"/>
      <c r="P75" s="382"/>
      <c r="Q75" s="382"/>
      <c r="R75" s="382"/>
      <c r="S75" s="382"/>
      <c r="T75" s="382"/>
      <c r="U75" s="382"/>
      <c r="V75" s="382"/>
      <c r="W75" s="382"/>
      <c r="X75" s="382"/>
      <c r="Y75" s="382"/>
      <c r="Z75" s="382"/>
      <c r="AA75" s="382"/>
      <c r="AB75" s="382"/>
      <c r="AC75" s="382"/>
      <c r="AD75" s="382"/>
      <c r="AE75" s="260"/>
      <c r="AF75" s="260"/>
      <c r="AG75" s="382"/>
      <c r="AH75" s="382"/>
      <c r="AI75" s="382"/>
      <c r="AJ75" s="382"/>
      <c r="AK75" s="382"/>
      <c r="AL75" s="118"/>
      <c r="AM75" s="233"/>
      <c r="AN75" s="9"/>
      <c r="AO75" s="9"/>
      <c r="AP75" s="9"/>
      <c r="AQ75" s="118"/>
      <c r="AR75" s="118"/>
      <c r="AS75" s="118"/>
      <c r="AT75" s="118"/>
      <c r="AU75" s="118"/>
      <c r="AV75" s="118"/>
      <c r="AW75" s="118"/>
      <c r="AX75" s="118"/>
      <c r="AY75" s="118"/>
      <c r="AZ75" s="118"/>
      <c r="BA75" s="118"/>
      <c r="BC75" s="122"/>
    </row>
    <row r="76" spans="1:55" ht="15.75" customHeight="1">
      <c r="A76" s="796" t="s">
        <v>479</v>
      </c>
      <c r="B76" s="583" t="s">
        <v>897</v>
      </c>
      <c r="C76" s="361"/>
      <c r="D76" s="596" t="s">
        <v>898</v>
      </c>
      <c r="E76" s="134">
        <f t="shared" si="2"/>
        <v>4</v>
      </c>
      <c r="F76" s="382"/>
      <c r="G76" s="382"/>
      <c r="H76" s="382"/>
      <c r="I76" s="382"/>
      <c r="J76" s="383"/>
      <c r="K76" s="555" t="s">
        <v>482</v>
      </c>
      <c r="L76" s="383"/>
      <c r="M76" s="383"/>
      <c r="N76" s="382"/>
      <c r="O76" s="382"/>
      <c r="P76" s="382"/>
      <c r="Q76" s="382"/>
      <c r="R76" s="382"/>
      <c r="S76" s="382"/>
      <c r="T76" s="382"/>
      <c r="U76" s="382"/>
      <c r="V76" s="382"/>
      <c r="W76" s="382"/>
      <c r="X76" s="556" t="s">
        <v>482</v>
      </c>
      <c r="Y76" s="382"/>
      <c r="Z76" s="382"/>
      <c r="AA76" s="382"/>
      <c r="AB76" s="382"/>
      <c r="AC76" s="382"/>
      <c r="AD76" s="382"/>
      <c r="AE76" s="401"/>
      <c r="AF76" s="401"/>
      <c r="AG76" s="556" t="s">
        <v>482</v>
      </c>
      <c r="AH76" s="382"/>
      <c r="AI76" s="382"/>
      <c r="AJ76" s="556" t="s">
        <v>482</v>
      </c>
      <c r="AK76" s="382"/>
      <c r="AL76" s="400"/>
      <c r="AM76" s="234"/>
      <c r="AN76" s="386"/>
      <c r="AO76" s="386"/>
      <c r="AP76" s="386"/>
      <c r="AQ76" s="400"/>
      <c r="AR76" s="400"/>
      <c r="AS76" s="400"/>
      <c r="AT76" s="400"/>
      <c r="AU76" s="400"/>
      <c r="AV76" s="400"/>
      <c r="AW76" s="400"/>
      <c r="AX76" s="400"/>
      <c r="AY76" s="400"/>
      <c r="AZ76" s="400"/>
      <c r="BA76" s="400"/>
      <c r="BC76" s="122"/>
    </row>
    <row r="77" spans="1:55" ht="15.75" customHeight="1">
      <c r="A77" s="796"/>
      <c r="B77" s="593" t="s">
        <v>1043</v>
      </c>
      <c r="C77" s="563"/>
      <c r="D77" s="600" t="s">
        <v>1044</v>
      </c>
      <c r="E77" s="134">
        <f t="shared" si="2"/>
        <v>4</v>
      </c>
      <c r="F77" s="564"/>
      <c r="G77" s="564"/>
      <c r="H77" s="564"/>
      <c r="I77" s="564"/>
      <c r="J77" s="564"/>
      <c r="K77" s="564"/>
      <c r="L77" s="564"/>
      <c r="M77" s="564"/>
      <c r="N77" s="564"/>
      <c r="O77" s="564"/>
      <c r="P77" s="564"/>
      <c r="Q77" s="564"/>
      <c r="R77" s="565"/>
      <c r="S77" s="565"/>
      <c r="T77" s="565" t="s">
        <v>482</v>
      </c>
      <c r="U77" s="565"/>
      <c r="V77" s="565"/>
      <c r="W77" s="565"/>
      <c r="X77" s="565" t="s">
        <v>482</v>
      </c>
      <c r="Y77" s="565" t="s">
        <v>482</v>
      </c>
      <c r="Z77" s="565"/>
      <c r="AA77" s="565"/>
      <c r="AB77" s="565"/>
      <c r="AC77" s="565"/>
      <c r="AD77" s="565"/>
      <c r="AE77" s="565"/>
      <c r="AF77" s="565" t="s">
        <v>482</v>
      </c>
      <c r="AG77" s="565"/>
      <c r="AH77" s="565"/>
      <c r="AI77" s="565"/>
      <c r="AJ77" s="564"/>
      <c r="AK77" s="564"/>
      <c r="AL77" s="564"/>
      <c r="AM77" s="566"/>
      <c r="AN77" s="567"/>
      <c r="AO77" s="567"/>
      <c r="AP77" s="567"/>
      <c r="AQ77" s="564"/>
      <c r="AR77" s="564"/>
      <c r="AS77" s="564"/>
      <c r="AT77" s="564"/>
      <c r="AU77" s="564"/>
      <c r="AV77" s="564"/>
      <c r="AW77" s="564"/>
      <c r="AX77" s="564"/>
      <c r="AY77" s="564"/>
      <c r="AZ77" s="564"/>
      <c r="BA77" s="564"/>
      <c r="BC77" s="122"/>
    </row>
    <row r="78" spans="1:55" ht="15.75" customHeight="1">
      <c r="A78" s="796"/>
      <c r="B78" s="584"/>
      <c r="C78" s="118"/>
      <c r="D78" s="596"/>
      <c r="E78" s="134">
        <f t="shared" si="2"/>
        <v>0</v>
      </c>
      <c r="F78" s="262"/>
      <c r="G78" s="262"/>
      <c r="H78" s="262"/>
      <c r="I78" s="262"/>
      <c r="J78" s="263"/>
      <c r="K78" s="263"/>
      <c r="L78" s="263"/>
      <c r="M78" s="263"/>
      <c r="N78" s="262"/>
      <c r="O78" s="262"/>
      <c r="P78" s="262"/>
      <c r="Q78" s="262"/>
      <c r="R78" s="262"/>
      <c r="S78" s="262"/>
      <c r="T78" s="262"/>
      <c r="U78" s="262"/>
      <c r="V78" s="262"/>
      <c r="W78" s="262"/>
      <c r="X78" s="262"/>
      <c r="Y78" s="262"/>
      <c r="Z78" s="262"/>
      <c r="AA78" s="262"/>
      <c r="AB78" s="262"/>
      <c r="AC78" s="262"/>
      <c r="AD78" s="262"/>
      <c r="AE78" s="123"/>
      <c r="AF78" s="123"/>
      <c r="AG78" s="262"/>
      <c r="AH78" s="262"/>
      <c r="AI78" s="262"/>
      <c r="AJ78" s="262"/>
      <c r="AK78" s="262"/>
      <c r="AL78" s="127"/>
      <c r="AM78" s="235"/>
      <c r="AN78" s="9"/>
      <c r="AO78" s="9"/>
      <c r="AP78" s="9"/>
      <c r="AQ78" s="127"/>
      <c r="AR78" s="127"/>
      <c r="AS78" s="127"/>
      <c r="AT78" s="127"/>
      <c r="AU78" s="127"/>
      <c r="AV78" s="127"/>
      <c r="AW78" s="127"/>
      <c r="AX78" s="127"/>
      <c r="AY78" s="127"/>
      <c r="AZ78" s="127"/>
      <c r="BA78" s="127"/>
      <c r="BC78" s="122"/>
    </row>
    <row r="79" spans="1:55" ht="15.75" customHeight="1">
      <c r="A79" s="796"/>
      <c r="B79" s="584"/>
      <c r="C79" s="361"/>
      <c r="D79" s="596"/>
      <c r="E79" s="134">
        <f t="shared" si="2"/>
        <v>0</v>
      </c>
      <c r="F79" s="262"/>
      <c r="G79" s="262"/>
      <c r="H79" s="262"/>
      <c r="I79" s="262"/>
      <c r="J79" s="263"/>
      <c r="K79" s="263"/>
      <c r="L79" s="263"/>
      <c r="M79" s="263"/>
      <c r="N79" s="262"/>
      <c r="O79" s="262"/>
      <c r="P79" s="262"/>
      <c r="Q79" s="262"/>
      <c r="R79" s="262"/>
      <c r="S79" s="262"/>
      <c r="T79" s="262"/>
      <c r="U79" s="262"/>
      <c r="V79" s="262"/>
      <c r="W79" s="262"/>
      <c r="X79" s="262"/>
      <c r="Y79" s="262"/>
      <c r="Z79" s="262"/>
      <c r="AA79" s="262"/>
      <c r="AB79" s="262"/>
      <c r="AC79" s="262"/>
      <c r="AD79" s="262"/>
      <c r="AE79" s="123"/>
      <c r="AF79" s="123"/>
      <c r="AG79" s="262"/>
      <c r="AH79" s="262"/>
      <c r="AI79" s="262"/>
      <c r="AJ79" s="262"/>
      <c r="AK79" s="262"/>
      <c r="AL79" s="127"/>
      <c r="AM79" s="235"/>
      <c r="AN79" s="9"/>
      <c r="AO79" s="9"/>
      <c r="AP79" s="9"/>
      <c r="AQ79" s="127"/>
      <c r="AR79" s="127"/>
      <c r="AS79" s="127"/>
      <c r="AT79" s="127"/>
      <c r="AU79" s="127"/>
      <c r="AV79" s="127"/>
      <c r="AW79" s="127"/>
      <c r="AX79" s="127"/>
      <c r="AY79" s="127"/>
      <c r="AZ79" s="127"/>
      <c r="BA79" s="127"/>
      <c r="BC79" s="122"/>
    </row>
    <row r="80" spans="1:55" ht="15.75" customHeight="1">
      <c r="A80" s="796"/>
      <c r="B80" s="584"/>
      <c r="C80" s="361"/>
      <c r="D80" s="596"/>
      <c r="E80" s="134">
        <f t="shared" si="2"/>
        <v>0</v>
      </c>
      <c r="F80" s="264"/>
      <c r="G80" s="264"/>
      <c r="H80" s="264"/>
      <c r="I80" s="264"/>
      <c r="J80" s="265"/>
      <c r="K80" s="265"/>
      <c r="L80" s="265"/>
      <c r="M80" s="265"/>
      <c r="N80" s="264"/>
      <c r="O80" s="264"/>
      <c r="P80" s="264"/>
      <c r="Q80" s="264"/>
      <c r="R80" s="264"/>
      <c r="S80" s="264"/>
      <c r="T80" s="264"/>
      <c r="U80" s="264"/>
      <c r="V80" s="264"/>
      <c r="W80" s="264"/>
      <c r="X80" s="264"/>
      <c r="Y80" s="264"/>
      <c r="Z80" s="264"/>
      <c r="AA80" s="264"/>
      <c r="AB80" s="264"/>
      <c r="AC80" s="264"/>
      <c r="AD80" s="264"/>
      <c r="AE80" s="261"/>
      <c r="AF80" s="261"/>
      <c r="AG80" s="264"/>
      <c r="AH80" s="264"/>
      <c r="AI80" s="264"/>
      <c r="AJ80" s="264"/>
      <c r="AK80" s="264"/>
      <c r="AL80" s="118"/>
      <c r="AM80" s="233"/>
      <c r="AN80" s="9"/>
      <c r="AO80" s="9"/>
      <c r="AP80" s="9"/>
      <c r="AQ80" s="118"/>
      <c r="AR80" s="118"/>
      <c r="AS80" s="118"/>
      <c r="AT80" s="118"/>
      <c r="AU80" s="118"/>
      <c r="AV80" s="118"/>
      <c r="AW80" s="118"/>
      <c r="AX80" s="118"/>
      <c r="AY80" s="118"/>
      <c r="AZ80" s="118"/>
      <c r="BA80" s="118"/>
      <c r="BC80" s="122"/>
    </row>
    <row r="81" spans="1:55" ht="15.75" customHeight="1">
      <c r="A81" s="796"/>
      <c r="B81" s="584"/>
      <c r="C81" s="361"/>
      <c r="D81" s="596"/>
      <c r="E81" s="134">
        <f t="shared" si="2"/>
        <v>0</v>
      </c>
      <c r="F81" s="262"/>
      <c r="G81" s="262"/>
      <c r="H81" s="262"/>
      <c r="I81" s="262"/>
      <c r="J81" s="263"/>
      <c r="K81" s="263"/>
      <c r="L81" s="263"/>
      <c r="M81" s="263"/>
      <c r="N81" s="262"/>
      <c r="O81" s="262"/>
      <c r="P81" s="262"/>
      <c r="Q81" s="262"/>
      <c r="R81" s="262"/>
      <c r="S81" s="262"/>
      <c r="T81" s="262"/>
      <c r="U81" s="262"/>
      <c r="V81" s="262"/>
      <c r="W81" s="262"/>
      <c r="X81" s="262"/>
      <c r="Y81" s="262"/>
      <c r="Z81" s="262"/>
      <c r="AA81" s="262"/>
      <c r="AB81" s="262"/>
      <c r="AC81" s="262"/>
      <c r="AD81" s="262"/>
      <c r="AE81" s="123"/>
      <c r="AF81" s="123"/>
      <c r="AG81" s="262"/>
      <c r="AH81" s="262"/>
      <c r="AI81" s="262"/>
      <c r="AJ81" s="262"/>
      <c r="AK81" s="262"/>
      <c r="AL81" s="118"/>
      <c r="AM81" s="233"/>
      <c r="AN81" s="9"/>
      <c r="AO81" s="9"/>
      <c r="AP81" s="9"/>
      <c r="AQ81" s="118"/>
      <c r="AR81" s="118"/>
      <c r="AS81" s="118"/>
      <c r="AT81" s="118"/>
      <c r="AU81" s="118"/>
      <c r="AV81" s="118"/>
      <c r="AW81" s="118"/>
      <c r="AX81" s="118"/>
      <c r="AY81" s="118"/>
      <c r="AZ81" s="118"/>
      <c r="BA81" s="118"/>
      <c r="BC81" s="122"/>
    </row>
    <row r="82" spans="1:55" ht="15.75" customHeight="1">
      <c r="A82" s="796"/>
      <c r="B82" s="584"/>
      <c r="C82" s="361"/>
      <c r="D82" s="596"/>
      <c r="E82" s="134">
        <f t="shared" si="2"/>
        <v>0</v>
      </c>
      <c r="F82" s="382"/>
      <c r="G82" s="382"/>
      <c r="H82" s="382"/>
      <c r="I82" s="382"/>
      <c r="J82" s="383"/>
      <c r="K82" s="383"/>
      <c r="L82" s="383"/>
      <c r="M82" s="383"/>
      <c r="N82" s="382"/>
      <c r="O82" s="382"/>
      <c r="P82" s="382"/>
      <c r="Q82" s="382"/>
      <c r="R82" s="382"/>
      <c r="S82" s="382"/>
      <c r="T82" s="382"/>
      <c r="U82" s="382"/>
      <c r="V82" s="382"/>
      <c r="W82" s="382"/>
      <c r="X82" s="382"/>
      <c r="Y82" s="382"/>
      <c r="Z82" s="382"/>
      <c r="AA82" s="382"/>
      <c r="AB82" s="382"/>
      <c r="AC82" s="382"/>
      <c r="AD82" s="382"/>
      <c r="AE82" s="260"/>
      <c r="AF82" s="260"/>
      <c r="AG82" s="382"/>
      <c r="AH82" s="382"/>
      <c r="AI82" s="382"/>
      <c r="AJ82" s="382"/>
      <c r="AK82" s="382"/>
      <c r="AL82" s="127"/>
      <c r="AM82" s="235"/>
      <c r="AN82" s="9"/>
      <c r="AO82" s="9"/>
      <c r="AP82" s="9"/>
      <c r="AQ82" s="127"/>
      <c r="AR82" s="127"/>
      <c r="AS82" s="127"/>
      <c r="AT82" s="127"/>
      <c r="AU82" s="127"/>
      <c r="AV82" s="127"/>
      <c r="AW82" s="127"/>
      <c r="AX82" s="127"/>
      <c r="AY82" s="127"/>
      <c r="AZ82" s="127"/>
      <c r="BA82" s="127"/>
      <c r="BC82" s="122"/>
    </row>
    <row r="83" spans="1:55" ht="15.75" customHeight="1">
      <c r="A83" s="797"/>
      <c r="B83" s="584"/>
      <c r="C83" s="361"/>
      <c r="D83" s="596"/>
      <c r="E83" s="134">
        <f t="shared" si="2"/>
        <v>0</v>
      </c>
      <c r="F83" s="382"/>
      <c r="G83" s="382"/>
      <c r="H83" s="382"/>
      <c r="I83" s="382"/>
      <c r="J83" s="383"/>
      <c r="K83" s="383"/>
      <c r="L83" s="383"/>
      <c r="M83" s="383"/>
      <c r="N83" s="382"/>
      <c r="O83" s="382"/>
      <c r="P83" s="382"/>
      <c r="Q83" s="382"/>
      <c r="R83" s="382"/>
      <c r="S83" s="382"/>
      <c r="T83" s="382"/>
      <c r="U83" s="382"/>
      <c r="V83" s="382"/>
      <c r="W83" s="382"/>
      <c r="X83" s="382"/>
      <c r="Y83" s="382"/>
      <c r="Z83" s="382"/>
      <c r="AA83" s="382"/>
      <c r="AB83" s="382"/>
      <c r="AC83" s="382"/>
      <c r="AD83" s="382"/>
      <c r="AE83" s="260"/>
      <c r="AF83" s="260"/>
      <c r="AG83" s="382"/>
      <c r="AH83" s="382"/>
      <c r="AI83" s="382"/>
      <c r="AJ83" s="382"/>
      <c r="AK83" s="382"/>
      <c r="AL83" s="118"/>
      <c r="AM83" s="233"/>
      <c r="AN83" s="9"/>
      <c r="AO83" s="9"/>
      <c r="AP83" s="9"/>
      <c r="AQ83" s="118"/>
      <c r="AR83" s="118"/>
      <c r="AS83" s="118"/>
      <c r="AT83" s="118"/>
      <c r="AU83" s="118"/>
      <c r="AV83" s="118"/>
      <c r="AW83" s="118"/>
      <c r="AX83" s="118"/>
      <c r="AY83" s="118"/>
      <c r="AZ83" s="118"/>
      <c r="BA83" s="118"/>
      <c r="BC83" s="122"/>
    </row>
    <row r="84" spans="1:55" ht="15.75" customHeight="1">
      <c r="A84" s="801" t="s">
        <v>1063</v>
      </c>
      <c r="B84" s="585" t="s">
        <v>577</v>
      </c>
      <c r="C84" s="361"/>
      <c r="D84" s="598" t="s">
        <v>571</v>
      </c>
      <c r="E84" s="134">
        <f t="shared" si="2"/>
        <v>4</v>
      </c>
      <c r="F84" s="526"/>
      <c r="G84" s="526"/>
      <c r="H84" s="526"/>
      <c r="I84" s="527"/>
      <c r="J84" s="527"/>
      <c r="K84" s="527" t="s">
        <v>482</v>
      </c>
      <c r="L84" s="527"/>
      <c r="M84" s="527"/>
      <c r="N84" s="527" t="s">
        <v>482</v>
      </c>
      <c r="O84" s="527"/>
      <c r="P84" s="527" t="s">
        <v>482</v>
      </c>
      <c r="Q84" s="527"/>
      <c r="R84" s="527" t="s">
        <v>482</v>
      </c>
      <c r="S84" s="527"/>
      <c r="T84" s="527"/>
      <c r="U84" s="527"/>
      <c r="V84" s="527"/>
      <c r="W84" s="527"/>
      <c r="X84" s="527"/>
      <c r="Y84" s="527"/>
      <c r="Z84" s="527"/>
      <c r="AA84" s="527"/>
      <c r="AB84" s="527"/>
      <c r="AC84" s="527"/>
      <c r="AD84" s="527"/>
      <c r="AE84" s="527"/>
      <c r="AF84" s="527"/>
      <c r="AG84" s="527"/>
      <c r="AH84" s="527"/>
      <c r="AI84" s="527"/>
      <c r="AJ84" s="527"/>
      <c r="AK84" s="527"/>
      <c r="AL84" s="528"/>
      <c r="AM84" s="529"/>
      <c r="AN84" s="530"/>
      <c r="AO84" s="530"/>
      <c r="AP84" s="530"/>
      <c r="AQ84" s="528"/>
      <c r="AR84" s="528"/>
      <c r="AS84" s="528"/>
      <c r="AT84" s="528"/>
      <c r="AU84" s="528"/>
      <c r="AV84" s="528"/>
      <c r="AW84" s="528"/>
      <c r="AX84" s="528"/>
      <c r="AY84" s="528"/>
      <c r="AZ84" s="528"/>
      <c r="BA84" s="528"/>
      <c r="BC84" s="122"/>
    </row>
    <row r="85" spans="1:55" ht="15.75" customHeight="1">
      <c r="A85" s="801"/>
      <c r="B85" s="586" t="s">
        <v>573</v>
      </c>
      <c r="C85" s="361"/>
      <c r="D85" s="598" t="s">
        <v>575</v>
      </c>
      <c r="E85" s="134">
        <f t="shared" si="2"/>
        <v>4</v>
      </c>
      <c r="F85" s="526"/>
      <c r="G85" s="526"/>
      <c r="H85" s="526"/>
      <c r="I85" s="527" t="s">
        <v>482</v>
      </c>
      <c r="J85" s="527"/>
      <c r="K85" s="527"/>
      <c r="L85" s="527"/>
      <c r="M85" s="527"/>
      <c r="N85" s="527"/>
      <c r="O85" s="527"/>
      <c r="P85" s="527"/>
      <c r="Q85" s="527"/>
      <c r="R85" s="527"/>
      <c r="S85" s="527" t="s">
        <v>482</v>
      </c>
      <c r="T85" s="527"/>
      <c r="U85" s="527"/>
      <c r="V85" s="527"/>
      <c r="W85" s="527"/>
      <c r="X85" s="527"/>
      <c r="Y85" s="527"/>
      <c r="Z85" s="527"/>
      <c r="AA85" s="527"/>
      <c r="AB85" s="527"/>
      <c r="AC85" s="527" t="s">
        <v>482</v>
      </c>
      <c r="AD85" s="527"/>
      <c r="AE85" s="527"/>
      <c r="AF85" s="527"/>
      <c r="AG85" s="527"/>
      <c r="AH85" s="527" t="s">
        <v>482</v>
      </c>
      <c r="AI85" s="527"/>
      <c r="AJ85" s="527"/>
      <c r="AK85" s="527"/>
      <c r="AL85" s="528"/>
      <c r="AM85" s="529"/>
      <c r="AN85" s="530"/>
      <c r="AO85" s="530"/>
      <c r="AP85" s="530"/>
      <c r="AQ85" s="528"/>
      <c r="AR85" s="528"/>
      <c r="AS85" s="528"/>
      <c r="AT85" s="528"/>
      <c r="AU85" s="528"/>
      <c r="AV85" s="528"/>
      <c r="AW85" s="528"/>
      <c r="AX85" s="528"/>
      <c r="AY85" s="528"/>
      <c r="AZ85" s="528"/>
      <c r="BA85" s="528"/>
      <c r="BC85" s="122"/>
    </row>
    <row r="86" spans="1:55" ht="15.75" customHeight="1">
      <c r="A86" s="801"/>
      <c r="B86" s="586" t="s">
        <v>574</v>
      </c>
      <c r="C86" s="118"/>
      <c r="D86" s="598" t="s">
        <v>576</v>
      </c>
      <c r="E86" s="134">
        <f t="shared" si="2"/>
        <v>1</v>
      </c>
      <c r="F86" s="526"/>
      <c r="G86" s="526"/>
      <c r="H86" s="526"/>
      <c r="I86" s="527"/>
      <c r="J86" s="527"/>
      <c r="K86" s="527"/>
      <c r="L86" s="527"/>
      <c r="M86" s="527"/>
      <c r="N86" s="527"/>
      <c r="O86" s="527"/>
      <c r="P86" s="527"/>
      <c r="Q86" s="527"/>
      <c r="R86" s="527"/>
      <c r="S86" s="527"/>
      <c r="T86" s="527"/>
      <c r="U86" s="527"/>
      <c r="V86" s="527"/>
      <c r="W86" s="527" t="s">
        <v>482</v>
      </c>
      <c r="X86" s="527"/>
      <c r="Y86" s="527"/>
      <c r="Z86" s="527"/>
      <c r="AA86" s="527"/>
      <c r="AB86" s="527"/>
      <c r="AC86" s="527"/>
      <c r="AD86" s="527"/>
      <c r="AE86" s="527"/>
      <c r="AF86" s="527"/>
      <c r="AG86" s="527"/>
      <c r="AH86" s="527"/>
      <c r="AI86" s="527"/>
      <c r="AJ86" s="527"/>
      <c r="AK86" s="527"/>
      <c r="AL86" s="528"/>
      <c r="AM86" s="529"/>
      <c r="AN86" s="530"/>
      <c r="AO86" s="530"/>
      <c r="AP86" s="530"/>
      <c r="AQ86" s="528"/>
      <c r="AR86" s="528"/>
      <c r="AS86" s="528"/>
      <c r="AT86" s="528"/>
      <c r="AU86" s="528"/>
      <c r="AV86" s="528"/>
      <c r="AW86" s="528"/>
      <c r="AX86" s="528"/>
      <c r="AY86" s="528"/>
      <c r="AZ86" s="528"/>
      <c r="BA86" s="528"/>
      <c r="BC86" s="122"/>
    </row>
    <row r="87" spans="1:55" ht="15.75" customHeight="1">
      <c r="A87" s="801"/>
      <c r="B87" s="577"/>
      <c r="C87" s="361"/>
      <c r="D87" s="596"/>
      <c r="E87" s="134">
        <f t="shared" si="2"/>
        <v>0</v>
      </c>
      <c r="F87" s="382"/>
      <c r="G87" s="382"/>
      <c r="H87" s="382"/>
      <c r="I87" s="382"/>
      <c r="J87" s="383"/>
      <c r="K87" s="383"/>
      <c r="L87" s="383"/>
      <c r="M87" s="383"/>
      <c r="N87" s="382"/>
      <c r="O87" s="382"/>
      <c r="P87" s="382"/>
      <c r="Q87" s="382"/>
      <c r="R87" s="382"/>
      <c r="S87" s="382"/>
      <c r="T87" s="382"/>
      <c r="U87" s="382"/>
      <c r="V87" s="382"/>
      <c r="W87" s="382"/>
      <c r="X87" s="382"/>
      <c r="Y87" s="382"/>
      <c r="Z87" s="382"/>
      <c r="AA87" s="382"/>
      <c r="AB87" s="382"/>
      <c r="AC87" s="382"/>
      <c r="AD87" s="382"/>
      <c r="AE87" s="260"/>
      <c r="AF87" s="260"/>
      <c r="AG87" s="382"/>
      <c r="AH87" s="382"/>
      <c r="AI87" s="382"/>
      <c r="AJ87" s="382"/>
      <c r="AK87" s="382"/>
      <c r="AL87" s="119"/>
      <c r="AM87" s="234"/>
      <c r="AN87" s="9"/>
      <c r="AO87" s="9"/>
      <c r="AP87" s="9"/>
      <c r="AQ87" s="119"/>
      <c r="AR87" s="119"/>
      <c r="AS87" s="119"/>
      <c r="AT87" s="119"/>
      <c r="AU87" s="119"/>
      <c r="AV87" s="119"/>
      <c r="AW87" s="119"/>
      <c r="AX87" s="119"/>
      <c r="AY87" s="119"/>
      <c r="AZ87" s="119"/>
      <c r="BA87" s="119"/>
      <c r="BC87" s="122"/>
    </row>
    <row r="88" spans="1:55" ht="15.75" customHeight="1">
      <c r="A88" s="801"/>
      <c r="B88" s="577"/>
      <c r="C88" s="118"/>
      <c r="D88" s="596"/>
      <c r="E88" s="134">
        <f t="shared" si="2"/>
        <v>0</v>
      </c>
      <c r="F88" s="382"/>
      <c r="G88" s="382"/>
      <c r="H88" s="382"/>
      <c r="I88" s="382"/>
      <c r="J88" s="383"/>
      <c r="K88" s="383"/>
      <c r="L88" s="383"/>
      <c r="M88" s="383"/>
      <c r="N88" s="382"/>
      <c r="O88" s="382"/>
      <c r="P88" s="382"/>
      <c r="Q88" s="382"/>
      <c r="R88" s="382"/>
      <c r="S88" s="382"/>
      <c r="T88" s="382"/>
      <c r="U88" s="382"/>
      <c r="V88" s="382"/>
      <c r="W88" s="382"/>
      <c r="X88" s="382"/>
      <c r="Y88" s="382"/>
      <c r="Z88" s="382"/>
      <c r="AA88" s="382"/>
      <c r="AB88" s="382"/>
      <c r="AC88" s="382"/>
      <c r="AD88" s="382"/>
      <c r="AE88" s="260"/>
      <c r="AF88" s="260"/>
      <c r="AG88" s="382"/>
      <c r="AH88" s="382"/>
      <c r="AI88" s="382"/>
      <c r="AJ88" s="382"/>
      <c r="AK88" s="382"/>
      <c r="AL88" s="119"/>
      <c r="AM88" s="234"/>
      <c r="AN88" s="9"/>
      <c r="AO88" s="9"/>
      <c r="AP88" s="9"/>
      <c r="AQ88" s="119"/>
      <c r="AR88" s="119"/>
      <c r="AS88" s="119"/>
      <c r="AT88" s="119"/>
      <c r="AU88" s="119"/>
      <c r="AV88" s="119"/>
      <c r="AW88" s="119"/>
      <c r="AX88" s="119"/>
      <c r="AY88" s="119"/>
      <c r="AZ88" s="119"/>
      <c r="BA88" s="119"/>
      <c r="BC88" s="122"/>
    </row>
    <row r="89" spans="1:55" ht="15.75" customHeight="1">
      <c r="A89" s="801"/>
      <c r="B89" s="577"/>
      <c r="C89" s="361"/>
      <c r="D89" s="596"/>
      <c r="E89" s="134">
        <f t="shared" si="2"/>
        <v>0</v>
      </c>
      <c r="F89" s="262"/>
      <c r="G89" s="262"/>
      <c r="H89" s="262"/>
      <c r="I89" s="262"/>
      <c r="J89" s="263"/>
      <c r="K89" s="263"/>
      <c r="L89" s="263"/>
      <c r="M89" s="263"/>
      <c r="N89" s="262"/>
      <c r="O89" s="262"/>
      <c r="P89" s="262"/>
      <c r="Q89" s="262"/>
      <c r="R89" s="262"/>
      <c r="S89" s="262"/>
      <c r="T89" s="262"/>
      <c r="U89" s="262"/>
      <c r="V89" s="262"/>
      <c r="W89" s="262"/>
      <c r="X89" s="262"/>
      <c r="Y89" s="262"/>
      <c r="Z89" s="262"/>
      <c r="AA89" s="262"/>
      <c r="AB89" s="262"/>
      <c r="AC89" s="262"/>
      <c r="AD89" s="262"/>
      <c r="AE89" s="123"/>
      <c r="AF89" s="123"/>
      <c r="AG89" s="262"/>
      <c r="AH89" s="262"/>
      <c r="AI89" s="262"/>
      <c r="AJ89" s="262"/>
      <c r="AK89" s="262"/>
      <c r="AL89" s="119"/>
      <c r="AM89" s="234"/>
      <c r="AN89" s="9"/>
      <c r="AO89" s="9"/>
      <c r="AP89" s="9"/>
      <c r="AQ89" s="119"/>
      <c r="AR89" s="119"/>
      <c r="AS89" s="119"/>
      <c r="AT89" s="119"/>
      <c r="AU89" s="119"/>
      <c r="AV89" s="119"/>
      <c r="AW89" s="119"/>
      <c r="AX89" s="119"/>
      <c r="AY89" s="119"/>
      <c r="AZ89" s="119"/>
      <c r="BA89" s="119"/>
      <c r="BC89" s="122"/>
    </row>
    <row r="90" spans="1:55" ht="15.75" customHeight="1">
      <c r="A90" s="801"/>
      <c r="B90" s="577"/>
      <c r="C90" s="361"/>
      <c r="D90" s="596"/>
      <c r="E90" s="134">
        <f t="shared" si="2"/>
        <v>0</v>
      </c>
      <c r="F90" s="382"/>
      <c r="G90" s="382"/>
      <c r="H90" s="382"/>
      <c r="I90" s="382"/>
      <c r="J90" s="383"/>
      <c r="K90" s="383"/>
      <c r="L90" s="383"/>
      <c r="M90" s="383"/>
      <c r="N90" s="382"/>
      <c r="O90" s="382"/>
      <c r="P90" s="382"/>
      <c r="Q90" s="382"/>
      <c r="R90" s="382"/>
      <c r="S90" s="382"/>
      <c r="T90" s="382"/>
      <c r="U90" s="382"/>
      <c r="V90" s="382"/>
      <c r="W90" s="382"/>
      <c r="X90" s="382"/>
      <c r="Y90" s="382"/>
      <c r="Z90" s="382"/>
      <c r="AA90" s="382"/>
      <c r="AB90" s="382"/>
      <c r="AC90" s="382"/>
      <c r="AD90" s="382"/>
      <c r="AE90" s="260"/>
      <c r="AF90" s="260"/>
      <c r="AG90" s="382"/>
      <c r="AH90" s="382"/>
      <c r="AI90" s="382"/>
      <c r="AJ90" s="382"/>
      <c r="AK90" s="382"/>
      <c r="AL90" s="119"/>
      <c r="AM90" s="234"/>
      <c r="AN90" s="9"/>
      <c r="AO90" s="9"/>
      <c r="AP90" s="9"/>
      <c r="AQ90" s="119"/>
      <c r="AR90" s="119"/>
      <c r="AS90" s="119"/>
      <c r="AT90" s="119"/>
      <c r="AU90" s="119"/>
      <c r="AV90" s="119"/>
      <c r="AW90" s="119"/>
      <c r="AX90" s="119"/>
      <c r="AY90" s="119"/>
      <c r="AZ90" s="119"/>
      <c r="BA90" s="119"/>
      <c r="BC90" s="122"/>
    </row>
    <row r="91" spans="1:55" ht="15.75" customHeight="1">
      <c r="A91" s="802"/>
      <c r="B91" s="577"/>
      <c r="C91" s="118"/>
      <c r="D91" s="596"/>
      <c r="E91" s="134">
        <f t="shared" si="2"/>
        <v>0</v>
      </c>
      <c r="F91" s="382"/>
      <c r="G91" s="382"/>
      <c r="H91" s="382"/>
      <c r="I91" s="382"/>
      <c r="J91" s="383"/>
      <c r="K91" s="383"/>
      <c r="L91" s="383"/>
      <c r="M91" s="383"/>
      <c r="N91" s="382"/>
      <c r="O91" s="382"/>
      <c r="P91" s="382"/>
      <c r="Q91" s="382"/>
      <c r="R91" s="382"/>
      <c r="S91" s="382"/>
      <c r="T91" s="382"/>
      <c r="U91" s="382"/>
      <c r="V91" s="382"/>
      <c r="W91" s="382"/>
      <c r="X91" s="382"/>
      <c r="Y91" s="382"/>
      <c r="Z91" s="382"/>
      <c r="AA91" s="382"/>
      <c r="AB91" s="382"/>
      <c r="AC91" s="382"/>
      <c r="AD91" s="382"/>
      <c r="AE91" s="260"/>
      <c r="AF91" s="260"/>
      <c r="AG91" s="382"/>
      <c r="AH91" s="382"/>
      <c r="AI91" s="382"/>
      <c r="AJ91" s="382"/>
      <c r="AK91" s="382"/>
      <c r="AL91" s="118"/>
      <c r="AM91" s="233"/>
      <c r="AN91" s="9"/>
      <c r="AO91" s="9"/>
      <c r="AP91" s="9"/>
      <c r="AQ91" s="118"/>
      <c r="AR91" s="118"/>
      <c r="AS91" s="118"/>
      <c r="AT91" s="118"/>
      <c r="AU91" s="118"/>
      <c r="AV91" s="118"/>
      <c r="AW91" s="118"/>
      <c r="AX91" s="118"/>
      <c r="AY91" s="118"/>
      <c r="AZ91" s="118"/>
      <c r="BA91" s="118"/>
      <c r="BC91" s="122"/>
    </row>
    <row r="92" spans="1:55" ht="15.75" customHeight="1">
      <c r="A92" s="803" t="s">
        <v>1064</v>
      </c>
      <c r="B92" s="585" t="s">
        <v>697</v>
      </c>
      <c r="C92" s="118"/>
      <c r="D92" s="598" t="s">
        <v>699</v>
      </c>
      <c r="E92" s="134">
        <f t="shared" si="2"/>
        <v>4</v>
      </c>
      <c r="F92" s="527"/>
      <c r="G92" s="527"/>
      <c r="H92" s="527"/>
      <c r="I92" s="527"/>
      <c r="J92" s="527"/>
      <c r="K92" s="527"/>
      <c r="L92" s="527"/>
      <c r="M92" s="527"/>
      <c r="N92" s="527" t="s">
        <v>482</v>
      </c>
      <c r="O92" s="527"/>
      <c r="P92" s="527" t="s">
        <v>482</v>
      </c>
      <c r="Q92" s="527"/>
      <c r="R92" s="527"/>
      <c r="S92" s="527"/>
      <c r="T92" s="527"/>
      <c r="U92" s="527"/>
      <c r="V92" s="527"/>
      <c r="W92" s="527"/>
      <c r="X92" s="527" t="s">
        <v>482</v>
      </c>
      <c r="Y92" s="527"/>
      <c r="Z92" s="527"/>
      <c r="AA92" s="527"/>
      <c r="AB92" s="527"/>
      <c r="AC92" s="527"/>
      <c r="AD92" s="527"/>
      <c r="AE92" s="527"/>
      <c r="AF92" s="527"/>
      <c r="AG92" s="527" t="s">
        <v>482</v>
      </c>
      <c r="AH92" s="527"/>
      <c r="AI92" s="527"/>
      <c r="AJ92" s="527"/>
      <c r="AK92" s="527"/>
      <c r="AL92" s="528"/>
      <c r="AM92" s="529"/>
      <c r="AN92" s="530"/>
      <c r="AO92" s="530"/>
      <c r="AP92" s="530"/>
      <c r="AQ92" s="528"/>
      <c r="AR92" s="528"/>
      <c r="AS92" s="528"/>
      <c r="AT92" s="528"/>
      <c r="AU92" s="528"/>
      <c r="AV92" s="528"/>
      <c r="AW92" s="528"/>
      <c r="AX92" s="528"/>
      <c r="AY92" s="528"/>
      <c r="AZ92" s="528"/>
      <c r="BA92" s="528"/>
      <c r="BC92" s="122"/>
    </row>
    <row r="93" spans="1:55" ht="15.75" customHeight="1">
      <c r="A93" s="804"/>
      <c r="B93" s="585" t="s">
        <v>572</v>
      </c>
      <c r="C93" s="361"/>
      <c r="D93" s="596" t="s">
        <v>700</v>
      </c>
      <c r="E93" s="134">
        <f t="shared" si="2"/>
        <v>4</v>
      </c>
      <c r="F93" s="527"/>
      <c r="G93" s="527" t="s">
        <v>482</v>
      </c>
      <c r="H93" s="527" t="s">
        <v>482</v>
      </c>
      <c r="I93" s="527" t="s">
        <v>482</v>
      </c>
      <c r="J93" s="527"/>
      <c r="K93" s="527"/>
      <c r="L93" s="527"/>
      <c r="M93" s="527"/>
      <c r="N93" s="527"/>
      <c r="O93" s="527"/>
      <c r="P93" s="527"/>
      <c r="Q93" s="527" t="s">
        <v>482</v>
      </c>
      <c r="R93" s="527"/>
      <c r="S93" s="527"/>
      <c r="T93" s="527"/>
      <c r="U93" s="527"/>
      <c r="V93" s="527"/>
      <c r="W93" s="527"/>
      <c r="X93" s="527"/>
      <c r="Y93" s="527"/>
      <c r="Z93" s="527"/>
      <c r="AA93" s="527"/>
      <c r="AB93" s="527"/>
      <c r="AC93" s="527"/>
      <c r="AD93" s="527"/>
      <c r="AE93" s="527"/>
      <c r="AF93" s="527"/>
      <c r="AG93" s="527"/>
      <c r="AH93" s="527"/>
      <c r="AI93" s="527"/>
      <c r="AJ93" s="527"/>
      <c r="AK93" s="527"/>
      <c r="AL93" s="528"/>
      <c r="AM93" s="529"/>
      <c r="AN93" s="530"/>
      <c r="AO93" s="530"/>
      <c r="AP93" s="530"/>
      <c r="AQ93" s="528"/>
      <c r="AR93" s="528"/>
      <c r="AS93" s="528"/>
      <c r="AT93" s="528"/>
      <c r="AU93" s="528"/>
      <c r="AV93" s="528"/>
      <c r="AW93" s="528"/>
      <c r="AX93" s="528"/>
      <c r="AY93" s="528"/>
      <c r="AZ93" s="528"/>
      <c r="BA93" s="528"/>
      <c r="BC93" s="122"/>
    </row>
    <row r="94" spans="1:55" ht="15.75" customHeight="1">
      <c r="A94" s="804"/>
      <c r="B94" s="585" t="s">
        <v>698</v>
      </c>
      <c r="C94" s="361"/>
      <c r="D94" s="596" t="s">
        <v>701</v>
      </c>
      <c r="E94" s="134">
        <f t="shared" si="2"/>
        <v>4</v>
      </c>
      <c r="F94" s="527"/>
      <c r="G94" s="527"/>
      <c r="H94" s="527"/>
      <c r="I94" s="527"/>
      <c r="J94" s="527"/>
      <c r="K94" s="527"/>
      <c r="L94" s="527"/>
      <c r="M94" s="527"/>
      <c r="N94" s="527"/>
      <c r="O94" s="527"/>
      <c r="P94" s="527"/>
      <c r="Q94" s="527"/>
      <c r="R94" s="527"/>
      <c r="S94" s="527" t="s">
        <v>482</v>
      </c>
      <c r="T94" s="527" t="s">
        <v>482</v>
      </c>
      <c r="U94" s="527"/>
      <c r="V94" s="527"/>
      <c r="W94" s="527"/>
      <c r="X94" s="527"/>
      <c r="Y94" s="527" t="s">
        <v>482</v>
      </c>
      <c r="Z94" s="527"/>
      <c r="AA94" s="527"/>
      <c r="AB94" s="527"/>
      <c r="AC94" s="527" t="s">
        <v>482</v>
      </c>
      <c r="AD94" s="527"/>
      <c r="AE94" s="527"/>
      <c r="AF94" s="527"/>
      <c r="AG94" s="527"/>
      <c r="AH94" s="527"/>
      <c r="AI94" s="527"/>
      <c r="AJ94" s="527"/>
      <c r="AK94" s="527"/>
      <c r="AL94" s="528"/>
      <c r="AM94" s="529"/>
      <c r="AN94" s="530"/>
      <c r="AO94" s="530"/>
      <c r="AP94" s="530"/>
      <c r="AQ94" s="528"/>
      <c r="AR94" s="528"/>
      <c r="AS94" s="528"/>
      <c r="AT94" s="528"/>
      <c r="AU94" s="528"/>
      <c r="AV94" s="528"/>
      <c r="AW94" s="528"/>
      <c r="AX94" s="528"/>
      <c r="AY94" s="528"/>
      <c r="AZ94" s="528"/>
      <c r="BA94" s="528"/>
      <c r="BC94" s="122"/>
    </row>
    <row r="95" spans="1:55" ht="15.75" customHeight="1">
      <c r="A95" s="804"/>
      <c r="B95" s="576"/>
      <c r="C95" s="361"/>
      <c r="D95" s="596"/>
      <c r="E95" s="134">
        <f t="shared" si="2"/>
        <v>0</v>
      </c>
      <c r="F95" s="382"/>
      <c r="G95" s="382"/>
      <c r="H95" s="382"/>
      <c r="I95" s="382"/>
      <c r="J95" s="383"/>
      <c r="K95" s="383"/>
      <c r="L95" s="383"/>
      <c r="M95" s="383"/>
      <c r="N95" s="382"/>
      <c r="O95" s="382"/>
      <c r="P95" s="382"/>
      <c r="Q95" s="382"/>
      <c r="R95" s="382"/>
      <c r="S95" s="382"/>
      <c r="T95" s="382"/>
      <c r="U95" s="382"/>
      <c r="V95" s="382"/>
      <c r="W95" s="382"/>
      <c r="X95" s="382"/>
      <c r="Y95" s="382"/>
      <c r="Z95" s="382"/>
      <c r="AA95" s="382"/>
      <c r="AB95" s="382"/>
      <c r="AC95" s="382"/>
      <c r="AD95" s="382"/>
      <c r="AE95" s="260"/>
      <c r="AF95" s="260"/>
      <c r="AG95" s="119"/>
      <c r="AH95" s="119"/>
      <c r="AI95" s="119"/>
      <c r="AJ95" s="119"/>
      <c r="AK95" s="119"/>
      <c r="AL95" s="119"/>
      <c r="AM95" s="234"/>
      <c r="AN95" s="9"/>
      <c r="AO95" s="9"/>
      <c r="AP95" s="9"/>
      <c r="AQ95" s="119"/>
      <c r="AR95" s="119"/>
      <c r="AS95" s="119"/>
      <c r="AT95" s="119"/>
      <c r="AU95" s="119"/>
      <c r="AV95" s="119"/>
      <c r="AW95" s="119"/>
      <c r="AX95" s="119"/>
      <c r="AY95" s="119"/>
      <c r="AZ95" s="119"/>
      <c r="BA95" s="119"/>
      <c r="BC95" s="122"/>
    </row>
    <row r="96" spans="1:55" ht="15.75" customHeight="1">
      <c r="A96" s="804"/>
      <c r="B96" s="576"/>
      <c r="C96" s="118"/>
      <c r="D96" s="597"/>
      <c r="E96" s="134">
        <f t="shared" si="2"/>
        <v>0</v>
      </c>
      <c r="F96" s="382"/>
      <c r="G96" s="382"/>
      <c r="H96" s="382"/>
      <c r="I96" s="382"/>
      <c r="J96" s="383"/>
      <c r="K96" s="383"/>
      <c r="L96" s="383"/>
      <c r="M96" s="383"/>
      <c r="N96" s="382"/>
      <c r="O96" s="382"/>
      <c r="P96" s="382"/>
      <c r="Q96" s="382"/>
      <c r="R96" s="382"/>
      <c r="S96" s="382"/>
      <c r="T96" s="382"/>
      <c r="U96" s="382"/>
      <c r="V96" s="382"/>
      <c r="W96" s="382"/>
      <c r="X96" s="382"/>
      <c r="Y96" s="382"/>
      <c r="Z96" s="382"/>
      <c r="AA96" s="382"/>
      <c r="AB96" s="382"/>
      <c r="AC96" s="382"/>
      <c r="AD96" s="382"/>
      <c r="AE96" s="260"/>
      <c r="AF96" s="260"/>
      <c r="AG96" s="119"/>
      <c r="AH96" s="119"/>
      <c r="AI96" s="119"/>
      <c r="AJ96" s="119"/>
      <c r="AK96" s="119"/>
      <c r="AL96" s="119"/>
      <c r="AM96" s="234"/>
      <c r="AN96" s="9"/>
      <c r="AO96" s="9"/>
      <c r="AP96" s="9"/>
      <c r="AQ96" s="119"/>
      <c r="AR96" s="119"/>
      <c r="AS96" s="119"/>
      <c r="AT96" s="119"/>
      <c r="AU96" s="119"/>
      <c r="AV96" s="119"/>
      <c r="AW96" s="119"/>
      <c r="AX96" s="119"/>
      <c r="AY96" s="119"/>
      <c r="AZ96" s="119"/>
      <c r="BA96" s="119"/>
      <c r="BC96" s="122"/>
    </row>
    <row r="97" spans="1:55" ht="15.75" customHeight="1">
      <c r="A97" s="804"/>
      <c r="B97" s="576"/>
      <c r="C97" s="361"/>
      <c r="D97" s="596"/>
      <c r="E97" s="134">
        <f t="shared" si="2"/>
        <v>0</v>
      </c>
      <c r="F97" s="118"/>
      <c r="G97" s="118"/>
      <c r="H97" s="118"/>
      <c r="I97" s="118"/>
      <c r="J97" s="123"/>
      <c r="K97" s="123"/>
      <c r="L97" s="123"/>
      <c r="M97" s="123"/>
      <c r="N97" s="118"/>
      <c r="O97" s="118"/>
      <c r="P97" s="118"/>
      <c r="Q97" s="118"/>
      <c r="R97" s="118"/>
      <c r="S97" s="118"/>
      <c r="T97" s="118"/>
      <c r="U97" s="118"/>
      <c r="V97" s="118"/>
      <c r="W97" s="118"/>
      <c r="X97" s="118"/>
      <c r="Y97" s="118"/>
      <c r="Z97" s="118"/>
      <c r="AA97" s="118"/>
      <c r="AB97" s="118"/>
      <c r="AC97" s="118"/>
      <c r="AD97" s="118"/>
      <c r="AE97" s="123"/>
      <c r="AF97" s="123"/>
      <c r="AG97" s="118"/>
      <c r="AH97" s="118"/>
      <c r="AI97" s="118"/>
      <c r="AJ97" s="118"/>
      <c r="AK97" s="118"/>
      <c r="AL97" s="119"/>
      <c r="AM97" s="234"/>
      <c r="AN97" s="9"/>
      <c r="AO97" s="9"/>
      <c r="AP97" s="9"/>
      <c r="AQ97" s="119"/>
      <c r="AR97" s="119"/>
      <c r="AS97" s="119"/>
      <c r="AT97" s="119"/>
      <c r="AU97" s="119"/>
      <c r="AV97" s="119"/>
      <c r="AW97" s="119"/>
      <c r="AX97" s="119"/>
      <c r="AY97" s="119"/>
      <c r="AZ97" s="119"/>
      <c r="BA97" s="119"/>
      <c r="BC97" s="122"/>
    </row>
    <row r="98" spans="1:55" ht="15.75" customHeight="1">
      <c r="A98" s="804"/>
      <c r="B98" s="576"/>
      <c r="C98" s="361"/>
      <c r="D98" s="596"/>
      <c r="E98" s="134">
        <f t="shared" si="2"/>
        <v>0</v>
      </c>
      <c r="F98" s="119"/>
      <c r="G98" s="119"/>
      <c r="H98" s="119"/>
      <c r="I98" s="119"/>
      <c r="J98" s="260"/>
      <c r="K98" s="260"/>
      <c r="L98" s="260"/>
      <c r="M98" s="260"/>
      <c r="N98" s="119"/>
      <c r="O98" s="119"/>
      <c r="P98" s="119"/>
      <c r="Q98" s="119"/>
      <c r="R98" s="119"/>
      <c r="S98" s="119"/>
      <c r="T98" s="119"/>
      <c r="U98" s="119"/>
      <c r="V98" s="119"/>
      <c r="W98" s="119"/>
      <c r="X98" s="119"/>
      <c r="Y98" s="119"/>
      <c r="Z98" s="119"/>
      <c r="AA98" s="119"/>
      <c r="AB98" s="119"/>
      <c r="AC98" s="119"/>
      <c r="AD98" s="119"/>
      <c r="AE98" s="260"/>
      <c r="AF98" s="260"/>
      <c r="AG98" s="119"/>
      <c r="AH98" s="119"/>
      <c r="AI98" s="119"/>
      <c r="AJ98" s="119"/>
      <c r="AK98" s="119"/>
      <c r="AL98" s="119"/>
      <c r="AM98" s="234"/>
      <c r="AN98" s="9"/>
      <c r="AO98" s="9"/>
      <c r="AP98" s="9"/>
      <c r="AQ98" s="119"/>
      <c r="AR98" s="119"/>
      <c r="AS98" s="119"/>
      <c r="AT98" s="119"/>
      <c r="AU98" s="119"/>
      <c r="AV98" s="119"/>
      <c r="AW98" s="119"/>
      <c r="AX98" s="119"/>
      <c r="AY98" s="119"/>
      <c r="AZ98" s="119"/>
      <c r="BA98" s="119"/>
      <c r="BC98" s="122"/>
    </row>
    <row r="99" spans="1:55" ht="15.75" customHeight="1">
      <c r="A99" s="805"/>
      <c r="B99" s="576"/>
      <c r="C99" s="361"/>
      <c r="D99" s="596"/>
      <c r="E99" s="134">
        <f t="shared" si="2"/>
        <v>0</v>
      </c>
      <c r="F99" s="119"/>
      <c r="G99" s="119"/>
      <c r="H99" s="119"/>
      <c r="I99" s="119"/>
      <c r="J99" s="260"/>
      <c r="K99" s="260"/>
      <c r="L99" s="260"/>
      <c r="M99" s="260"/>
      <c r="N99" s="119"/>
      <c r="O99" s="119"/>
      <c r="P99" s="119"/>
      <c r="Q99" s="119"/>
      <c r="R99" s="119"/>
      <c r="S99" s="119"/>
      <c r="T99" s="119"/>
      <c r="U99" s="119"/>
      <c r="V99" s="119"/>
      <c r="W99" s="119"/>
      <c r="X99" s="119"/>
      <c r="Y99" s="119"/>
      <c r="Z99" s="119"/>
      <c r="AA99" s="119"/>
      <c r="AB99" s="119"/>
      <c r="AC99" s="119"/>
      <c r="AD99" s="119"/>
      <c r="AE99" s="260"/>
      <c r="AF99" s="260"/>
      <c r="AG99" s="119"/>
      <c r="AH99" s="119"/>
      <c r="AI99" s="119"/>
      <c r="AJ99" s="119"/>
      <c r="AK99" s="119"/>
      <c r="AL99" s="118"/>
      <c r="AM99" s="233"/>
      <c r="AN99" s="9"/>
      <c r="AO99" s="9"/>
      <c r="AP99" s="9"/>
      <c r="AQ99" s="118"/>
      <c r="AR99" s="118"/>
      <c r="AS99" s="118"/>
      <c r="AT99" s="118"/>
      <c r="AU99" s="118"/>
      <c r="AV99" s="118"/>
      <c r="AW99" s="118"/>
      <c r="AX99" s="118"/>
      <c r="AY99" s="118"/>
      <c r="AZ99" s="118"/>
      <c r="BA99" s="118"/>
      <c r="BC99" s="122"/>
    </row>
    <row r="100" spans="1:55" ht="15.75" customHeight="1">
      <c r="A100" s="806" t="s">
        <v>1065</v>
      </c>
      <c r="B100" s="585" t="s">
        <v>577</v>
      </c>
      <c r="C100" s="399"/>
      <c r="D100" s="596" t="s">
        <v>780</v>
      </c>
      <c r="E100" s="134">
        <f t="shared" si="2"/>
        <v>4</v>
      </c>
      <c r="F100" s="399"/>
      <c r="G100" s="399"/>
      <c r="H100" s="399"/>
      <c r="I100" s="399" t="s">
        <v>482</v>
      </c>
      <c r="J100" s="123"/>
      <c r="K100" s="123"/>
      <c r="L100" s="123"/>
      <c r="M100" s="123"/>
      <c r="N100" s="399"/>
      <c r="O100" s="399" t="s">
        <v>482</v>
      </c>
      <c r="P100" s="399"/>
      <c r="Q100" s="399"/>
      <c r="R100" s="399"/>
      <c r="S100" s="399"/>
      <c r="T100" s="399"/>
      <c r="U100" s="399"/>
      <c r="V100" s="399"/>
      <c r="W100" s="399"/>
      <c r="X100" s="399"/>
      <c r="Y100" s="399"/>
      <c r="Z100" s="399"/>
      <c r="AA100" s="399" t="s">
        <v>482</v>
      </c>
      <c r="AB100" s="399"/>
      <c r="AC100" s="399"/>
      <c r="AD100" s="399"/>
      <c r="AE100" s="123"/>
      <c r="AF100" s="123"/>
      <c r="AG100" s="399"/>
      <c r="AH100" s="399"/>
      <c r="AI100" s="399" t="s">
        <v>482</v>
      </c>
      <c r="AJ100" s="399"/>
      <c r="AK100" s="399"/>
      <c r="AL100" s="111"/>
      <c r="AM100" s="236"/>
      <c r="AN100" s="386"/>
      <c r="AO100" s="386"/>
      <c r="AP100" s="386"/>
      <c r="AQ100" s="111"/>
      <c r="AR100" s="111"/>
      <c r="AS100" s="111"/>
      <c r="AT100" s="111"/>
      <c r="AU100" s="111"/>
      <c r="AV100" s="111"/>
      <c r="AW100" s="111"/>
      <c r="AX100" s="111"/>
      <c r="AY100" s="111"/>
      <c r="AZ100" s="111"/>
      <c r="BA100" s="111"/>
      <c r="BC100" s="122"/>
    </row>
    <row r="101" spans="1:55" ht="15.75" customHeight="1">
      <c r="A101" s="807"/>
      <c r="B101" s="587" t="s">
        <v>698</v>
      </c>
      <c r="C101" s="399"/>
      <c r="D101" s="596" t="s">
        <v>781</v>
      </c>
      <c r="E101" s="134">
        <f t="shared" si="2"/>
        <v>2</v>
      </c>
      <c r="F101" s="399"/>
      <c r="G101" s="399"/>
      <c r="H101" s="399"/>
      <c r="I101" s="399"/>
      <c r="J101" s="123" t="s">
        <v>482</v>
      </c>
      <c r="K101" s="123"/>
      <c r="L101" s="123"/>
      <c r="M101" s="123"/>
      <c r="N101" s="399"/>
      <c r="O101" s="399"/>
      <c r="P101" s="399"/>
      <c r="Q101" s="399"/>
      <c r="R101" s="399"/>
      <c r="S101" s="399"/>
      <c r="T101" s="399"/>
      <c r="U101" s="399"/>
      <c r="V101" s="399"/>
      <c r="W101" s="399"/>
      <c r="X101" s="399"/>
      <c r="Y101" s="399"/>
      <c r="Z101" s="399"/>
      <c r="AA101" s="399"/>
      <c r="AB101" s="399"/>
      <c r="AC101" s="399"/>
      <c r="AD101" s="399"/>
      <c r="AE101" s="123" t="s">
        <v>482</v>
      </c>
      <c r="AF101" s="123"/>
      <c r="AG101" s="399"/>
      <c r="AH101" s="399"/>
      <c r="AI101" s="399"/>
      <c r="AJ101" s="399"/>
      <c r="AK101" s="399"/>
      <c r="AL101" s="111"/>
      <c r="AM101" s="236"/>
      <c r="AN101" s="386"/>
      <c r="AO101" s="386"/>
      <c r="AP101" s="386"/>
      <c r="AQ101" s="111"/>
      <c r="AR101" s="111"/>
      <c r="AS101" s="111"/>
      <c r="AT101" s="111"/>
      <c r="AU101" s="111"/>
      <c r="AV101" s="111"/>
      <c r="AW101" s="111"/>
      <c r="AX101" s="111"/>
      <c r="AY101" s="111"/>
      <c r="AZ101" s="111"/>
      <c r="BA101" s="111"/>
      <c r="BC101" s="122"/>
    </row>
    <row r="102" spans="1:55" ht="15.75" customHeight="1">
      <c r="A102" s="807"/>
      <c r="B102" s="574"/>
      <c r="C102" s="361"/>
      <c r="D102" s="597"/>
      <c r="E102" s="134">
        <f t="shared" si="2"/>
        <v>0</v>
      </c>
      <c r="F102" s="119"/>
      <c r="G102" s="119"/>
      <c r="H102" s="119"/>
      <c r="I102" s="119"/>
      <c r="J102" s="260"/>
      <c r="K102" s="260"/>
      <c r="L102" s="260"/>
      <c r="M102" s="260"/>
      <c r="N102" s="119"/>
      <c r="O102" s="119"/>
      <c r="P102" s="119"/>
      <c r="Q102" s="119"/>
      <c r="R102" s="119"/>
      <c r="S102" s="119"/>
      <c r="T102" s="119"/>
      <c r="U102" s="119"/>
      <c r="V102" s="119"/>
      <c r="W102" s="119"/>
      <c r="X102" s="119"/>
      <c r="Y102" s="119"/>
      <c r="Z102" s="119"/>
      <c r="AA102" s="119"/>
      <c r="AB102" s="119"/>
      <c r="AC102" s="119"/>
      <c r="AD102" s="119"/>
      <c r="AE102" s="260"/>
      <c r="AF102" s="260"/>
      <c r="AG102" s="119"/>
      <c r="AH102" s="119"/>
      <c r="AI102" s="119"/>
      <c r="AJ102" s="119"/>
      <c r="AK102" s="119"/>
      <c r="AL102" s="119"/>
      <c r="AM102" s="234"/>
      <c r="AN102" s="9"/>
      <c r="AO102" s="9"/>
      <c r="AP102" s="9"/>
      <c r="AQ102" s="119"/>
      <c r="AR102" s="119"/>
      <c r="AS102" s="119"/>
      <c r="AT102" s="119"/>
      <c r="AU102" s="119"/>
      <c r="AV102" s="119"/>
      <c r="AW102" s="119"/>
      <c r="AX102" s="119"/>
      <c r="AY102" s="119"/>
      <c r="AZ102" s="119"/>
      <c r="BA102" s="119"/>
      <c r="BC102" s="122"/>
    </row>
    <row r="103" spans="1:55" ht="15.75" customHeight="1">
      <c r="A103" s="807"/>
      <c r="B103" s="574"/>
      <c r="C103" s="361"/>
      <c r="D103" s="597"/>
      <c r="E103" s="134">
        <f t="shared" si="2"/>
        <v>0</v>
      </c>
      <c r="F103" s="119"/>
      <c r="G103" s="119"/>
      <c r="H103" s="119"/>
      <c r="I103" s="119"/>
      <c r="J103" s="260"/>
      <c r="K103" s="260"/>
      <c r="L103" s="260"/>
      <c r="M103" s="260"/>
      <c r="N103" s="119"/>
      <c r="O103" s="119"/>
      <c r="P103" s="119"/>
      <c r="Q103" s="119"/>
      <c r="R103" s="119"/>
      <c r="S103" s="119"/>
      <c r="T103" s="119"/>
      <c r="U103" s="119"/>
      <c r="V103" s="119"/>
      <c r="W103" s="119"/>
      <c r="X103" s="119"/>
      <c r="Y103" s="119"/>
      <c r="Z103" s="119"/>
      <c r="AA103" s="119"/>
      <c r="AB103" s="119"/>
      <c r="AC103" s="119"/>
      <c r="AD103" s="119"/>
      <c r="AE103" s="260"/>
      <c r="AF103" s="260"/>
      <c r="AG103" s="119"/>
      <c r="AH103" s="119"/>
      <c r="AI103" s="119"/>
      <c r="AJ103" s="119"/>
      <c r="AK103" s="119"/>
      <c r="AL103" s="119"/>
      <c r="AM103" s="234"/>
      <c r="AN103" s="9"/>
      <c r="AO103" s="9"/>
      <c r="AP103" s="9"/>
      <c r="AQ103" s="119"/>
      <c r="AR103" s="119"/>
      <c r="AS103" s="119"/>
      <c r="AT103" s="119"/>
      <c r="AU103" s="119"/>
      <c r="AV103" s="119"/>
      <c r="AW103" s="119"/>
      <c r="AX103" s="119"/>
      <c r="AY103" s="119"/>
      <c r="AZ103" s="119"/>
      <c r="BA103" s="119"/>
      <c r="BC103" s="122"/>
    </row>
    <row r="104" spans="1:55" ht="15.75" customHeight="1">
      <c r="A104" s="807"/>
      <c r="B104" s="574"/>
      <c r="C104" s="361"/>
      <c r="D104" s="596"/>
      <c r="E104" s="134">
        <f t="shared" si="2"/>
        <v>0</v>
      </c>
      <c r="F104" s="119"/>
      <c r="G104" s="119"/>
      <c r="H104" s="119"/>
      <c r="I104" s="119"/>
      <c r="J104" s="260"/>
      <c r="K104" s="260"/>
      <c r="L104" s="260"/>
      <c r="M104" s="260"/>
      <c r="N104" s="119"/>
      <c r="O104" s="119"/>
      <c r="P104" s="119"/>
      <c r="Q104" s="119"/>
      <c r="R104" s="119"/>
      <c r="S104" s="119"/>
      <c r="T104" s="119"/>
      <c r="U104" s="119"/>
      <c r="V104" s="119"/>
      <c r="W104" s="119"/>
      <c r="X104" s="119"/>
      <c r="Y104" s="119"/>
      <c r="Z104" s="119"/>
      <c r="AA104" s="119"/>
      <c r="AB104" s="119"/>
      <c r="AC104" s="119"/>
      <c r="AD104" s="119"/>
      <c r="AE104" s="260"/>
      <c r="AF104" s="260"/>
      <c r="AG104" s="119"/>
      <c r="AH104" s="119"/>
      <c r="AI104" s="119"/>
      <c r="AJ104" s="119"/>
      <c r="AK104" s="119"/>
      <c r="AL104" s="119"/>
      <c r="AM104" s="234"/>
      <c r="AN104" s="9"/>
      <c r="AO104" s="9"/>
      <c r="AP104" s="9"/>
      <c r="AQ104" s="119"/>
      <c r="AR104" s="119"/>
      <c r="AS104" s="119"/>
      <c r="AT104" s="119"/>
      <c r="AU104" s="119"/>
      <c r="AV104" s="119"/>
      <c r="AW104" s="119"/>
      <c r="AX104" s="119"/>
      <c r="AY104" s="119"/>
      <c r="AZ104" s="119"/>
      <c r="BA104" s="119"/>
      <c r="BC104" s="122"/>
    </row>
    <row r="105" spans="1:55" ht="15.75" customHeight="1">
      <c r="A105" s="807"/>
      <c r="B105" s="574"/>
      <c r="C105" s="361"/>
      <c r="D105" s="596"/>
      <c r="E105" s="134">
        <f t="shared" si="2"/>
        <v>0</v>
      </c>
      <c r="F105" s="118"/>
      <c r="G105" s="118"/>
      <c r="H105" s="118"/>
      <c r="I105" s="118"/>
      <c r="J105" s="123"/>
      <c r="K105" s="123"/>
      <c r="L105" s="123"/>
      <c r="M105" s="123"/>
      <c r="N105" s="118"/>
      <c r="O105" s="118"/>
      <c r="P105" s="118"/>
      <c r="Q105" s="118"/>
      <c r="R105" s="118"/>
      <c r="S105" s="118"/>
      <c r="T105" s="118"/>
      <c r="U105" s="118"/>
      <c r="V105" s="118"/>
      <c r="W105" s="118"/>
      <c r="X105" s="118"/>
      <c r="Y105" s="118"/>
      <c r="Z105" s="118"/>
      <c r="AA105" s="118"/>
      <c r="AB105" s="118"/>
      <c r="AC105" s="118"/>
      <c r="AD105" s="118"/>
      <c r="AE105" s="123"/>
      <c r="AF105" s="123"/>
      <c r="AG105" s="118"/>
      <c r="AH105" s="118"/>
      <c r="AI105" s="118"/>
      <c r="AJ105" s="118"/>
      <c r="AK105" s="118"/>
      <c r="AL105" s="119"/>
      <c r="AM105" s="234"/>
      <c r="AN105" s="9"/>
      <c r="AO105" s="9"/>
      <c r="AP105" s="9"/>
      <c r="AQ105" s="119"/>
      <c r="AR105" s="119"/>
      <c r="AS105" s="119"/>
      <c r="AT105" s="119"/>
      <c r="AU105" s="119"/>
      <c r="AV105" s="119"/>
      <c r="AW105" s="119"/>
      <c r="AX105" s="119"/>
      <c r="AY105" s="119"/>
      <c r="AZ105" s="119"/>
      <c r="BA105" s="119"/>
      <c r="BC105" s="122"/>
    </row>
    <row r="106" spans="1:55" ht="15.75" customHeight="1">
      <c r="A106" s="807"/>
      <c r="B106" s="574"/>
      <c r="C106" s="361"/>
      <c r="D106" s="596"/>
      <c r="E106" s="134">
        <f t="shared" si="2"/>
        <v>0</v>
      </c>
      <c r="F106" s="118"/>
      <c r="G106" s="118"/>
      <c r="H106" s="118"/>
      <c r="I106" s="118"/>
      <c r="J106" s="123"/>
      <c r="K106" s="123"/>
      <c r="L106" s="123"/>
      <c r="M106" s="123"/>
      <c r="N106" s="118"/>
      <c r="O106" s="118"/>
      <c r="P106" s="118"/>
      <c r="Q106" s="118"/>
      <c r="R106" s="118"/>
      <c r="S106" s="118"/>
      <c r="T106" s="118"/>
      <c r="U106" s="118"/>
      <c r="V106" s="118"/>
      <c r="W106" s="118"/>
      <c r="X106" s="118"/>
      <c r="Y106" s="118"/>
      <c r="Z106" s="118"/>
      <c r="AA106" s="118"/>
      <c r="AB106" s="118"/>
      <c r="AC106" s="118"/>
      <c r="AD106" s="118"/>
      <c r="AE106" s="123"/>
      <c r="AF106" s="123"/>
      <c r="AG106" s="118"/>
      <c r="AH106" s="118"/>
      <c r="AI106" s="118"/>
      <c r="AJ106" s="118"/>
      <c r="AK106" s="118"/>
      <c r="AL106" s="119"/>
      <c r="AM106" s="234"/>
      <c r="AN106" s="9"/>
      <c r="AO106" s="9"/>
      <c r="AP106" s="9"/>
      <c r="AQ106" s="119"/>
      <c r="AR106" s="119"/>
      <c r="AS106" s="119"/>
      <c r="AT106" s="119"/>
      <c r="AU106" s="119"/>
      <c r="AV106" s="119"/>
      <c r="AW106" s="119"/>
      <c r="AX106" s="119"/>
      <c r="AY106" s="119"/>
      <c r="AZ106" s="119"/>
      <c r="BA106" s="119"/>
      <c r="BC106" s="122"/>
    </row>
    <row r="107" spans="1:55" ht="15.75" customHeight="1">
      <c r="A107" s="808"/>
      <c r="B107" s="574"/>
      <c r="C107" s="361"/>
      <c r="D107" s="597"/>
      <c r="E107" s="134">
        <f t="shared" si="2"/>
        <v>0</v>
      </c>
      <c r="F107" s="548"/>
      <c r="G107" s="548"/>
      <c r="H107" s="548"/>
      <c r="I107" s="548"/>
      <c r="J107" s="549"/>
      <c r="K107" s="549"/>
      <c r="L107" s="549"/>
      <c r="M107" s="549"/>
      <c r="N107" s="548"/>
      <c r="O107" s="548"/>
      <c r="P107" s="548"/>
      <c r="Q107" s="548"/>
      <c r="R107" s="548"/>
      <c r="S107" s="548"/>
      <c r="T107" s="548"/>
      <c r="U107" s="548"/>
      <c r="V107" s="548"/>
      <c r="W107" s="548"/>
      <c r="X107" s="548"/>
      <c r="Y107" s="548"/>
      <c r="Z107" s="548"/>
      <c r="AA107" s="548"/>
      <c r="AB107" s="548"/>
      <c r="AC107" s="548"/>
      <c r="AD107" s="548"/>
      <c r="AE107" s="549"/>
      <c r="AF107" s="549"/>
      <c r="AG107" s="548"/>
      <c r="AH107" s="548"/>
      <c r="AI107" s="548"/>
      <c r="AJ107" s="548"/>
      <c r="AK107" s="548"/>
      <c r="AL107" s="548"/>
      <c r="AM107" s="550"/>
      <c r="AN107" s="105"/>
      <c r="AO107" s="105"/>
      <c r="AP107" s="105"/>
      <c r="AQ107" s="548"/>
      <c r="AR107" s="548"/>
      <c r="AS107" s="548"/>
      <c r="AT107" s="548"/>
      <c r="AU107" s="548"/>
      <c r="AV107" s="548"/>
      <c r="AW107" s="548"/>
      <c r="AX107" s="548"/>
      <c r="AY107" s="548"/>
      <c r="AZ107" s="548"/>
      <c r="BA107" s="548"/>
    </row>
    <row r="108" spans="1:55" ht="15.75">
      <c r="A108" s="791" t="s">
        <v>1066</v>
      </c>
      <c r="B108" s="588" t="s">
        <v>849</v>
      </c>
      <c r="C108" s="118"/>
      <c r="D108" s="596" t="s">
        <v>820</v>
      </c>
      <c r="E108" s="134">
        <f t="shared" si="2"/>
        <v>7</v>
      </c>
      <c r="F108" s="551"/>
      <c r="G108" s="551"/>
      <c r="H108" s="551"/>
      <c r="I108" s="551" t="s">
        <v>482</v>
      </c>
      <c r="J108" s="551"/>
      <c r="K108" s="551"/>
      <c r="L108" s="551"/>
      <c r="M108" s="551"/>
      <c r="N108" s="551"/>
      <c r="O108" s="551"/>
      <c r="P108" s="551" t="s">
        <v>482</v>
      </c>
      <c r="Q108" s="551"/>
      <c r="R108" s="551" t="s">
        <v>482</v>
      </c>
      <c r="S108" s="551" t="s">
        <v>482</v>
      </c>
      <c r="T108" s="551"/>
      <c r="U108" s="551"/>
      <c r="V108" s="551" t="s">
        <v>482</v>
      </c>
      <c r="W108" s="551" t="s">
        <v>482</v>
      </c>
      <c r="X108" s="551"/>
      <c r="Y108" s="551"/>
      <c r="Z108" s="551"/>
      <c r="AA108" s="551"/>
      <c r="AB108" s="551" t="s">
        <v>482</v>
      </c>
      <c r="AC108" s="551"/>
      <c r="AD108" s="551"/>
      <c r="AE108" s="551"/>
      <c r="AF108" s="551"/>
      <c r="AG108" s="551"/>
      <c r="AH108" s="551"/>
      <c r="AI108" s="551"/>
      <c r="AJ108" s="551"/>
      <c r="AK108" s="551"/>
      <c r="AL108" s="551"/>
      <c r="AM108" s="552"/>
      <c r="AN108" s="386"/>
      <c r="AO108" s="386"/>
      <c r="AP108" s="386"/>
      <c r="AQ108" s="551"/>
      <c r="AR108" s="551"/>
      <c r="AS108" s="551"/>
      <c r="AT108" s="551"/>
      <c r="AU108" s="551"/>
      <c r="AV108" s="551"/>
      <c r="AW108" s="551"/>
      <c r="AX108" s="551"/>
      <c r="AY108" s="551"/>
      <c r="AZ108" s="551"/>
      <c r="BA108" s="551"/>
    </row>
    <row r="109" spans="1:55" ht="52.5" customHeight="1">
      <c r="A109" s="791"/>
      <c r="B109" s="592" t="s">
        <v>850</v>
      </c>
      <c r="C109" s="118"/>
      <c r="D109" s="601" t="s">
        <v>829</v>
      </c>
      <c r="E109" s="557">
        <f t="shared" si="2"/>
        <v>4</v>
      </c>
      <c r="F109" s="558"/>
      <c r="G109" s="558"/>
      <c r="H109" s="558"/>
      <c r="I109" s="558" t="s">
        <v>482</v>
      </c>
      <c r="J109" s="558"/>
      <c r="K109" s="558"/>
      <c r="L109" s="558"/>
      <c r="M109" s="558"/>
      <c r="N109" s="558"/>
      <c r="O109" s="558"/>
      <c r="P109" s="558"/>
      <c r="Q109" s="558"/>
      <c r="R109" s="558"/>
      <c r="S109" s="558"/>
      <c r="T109" s="558"/>
      <c r="U109" s="558"/>
      <c r="V109" s="558"/>
      <c r="W109" s="558"/>
      <c r="X109" s="558" t="s">
        <v>482</v>
      </c>
      <c r="Y109" s="558"/>
      <c r="Z109" s="558" t="s">
        <v>482</v>
      </c>
      <c r="AA109" s="558"/>
      <c r="AB109" s="558"/>
      <c r="AC109" s="558" t="s">
        <v>482</v>
      </c>
      <c r="AD109" s="558"/>
      <c r="AE109" s="558"/>
      <c r="AF109" s="558"/>
      <c r="AG109" s="558"/>
      <c r="AH109" s="558"/>
      <c r="AI109" s="558"/>
      <c r="AJ109" s="558"/>
      <c r="AK109" s="558"/>
      <c r="AL109" s="558"/>
      <c r="AM109" s="559"/>
      <c r="AN109" s="560"/>
      <c r="AO109" s="560"/>
      <c r="AP109" s="560"/>
      <c r="AQ109" s="558"/>
      <c r="AR109" s="558"/>
      <c r="AS109" s="558"/>
      <c r="AT109" s="558"/>
      <c r="AU109" s="558"/>
      <c r="AV109" s="558"/>
      <c r="AW109" s="558"/>
      <c r="AX109" s="558"/>
      <c r="AY109" s="558"/>
      <c r="AZ109" s="558"/>
      <c r="BA109" s="558"/>
    </row>
    <row r="110" spans="1:55" ht="15.75">
      <c r="A110" s="799"/>
      <c r="B110" s="589"/>
      <c r="C110" s="118"/>
      <c r="D110" s="596"/>
      <c r="E110" s="134">
        <f t="shared" si="2"/>
        <v>0</v>
      </c>
      <c r="F110" s="118"/>
      <c r="G110" s="118"/>
      <c r="H110" s="118"/>
      <c r="I110" s="118"/>
      <c r="J110" s="123"/>
      <c r="K110" s="123"/>
      <c r="L110" s="123"/>
      <c r="M110" s="123"/>
      <c r="N110" s="118"/>
      <c r="O110" s="118"/>
      <c r="P110" s="118"/>
      <c r="Q110" s="118"/>
      <c r="R110" s="118"/>
      <c r="S110" s="118"/>
      <c r="T110" s="118"/>
      <c r="U110" s="118"/>
      <c r="V110" s="118"/>
      <c r="W110" s="118"/>
      <c r="X110" s="118"/>
      <c r="Y110" s="118"/>
      <c r="Z110" s="118"/>
      <c r="AA110" s="118"/>
      <c r="AB110" s="118"/>
      <c r="AC110" s="118"/>
      <c r="AD110" s="118"/>
      <c r="AE110" s="123"/>
      <c r="AF110" s="123"/>
      <c r="AG110" s="118"/>
      <c r="AH110" s="118"/>
      <c r="AI110" s="118"/>
      <c r="AJ110" s="118"/>
      <c r="AK110" s="118"/>
      <c r="AL110" s="111"/>
      <c r="AM110" s="236"/>
      <c r="AN110" s="386"/>
      <c r="AO110" s="386"/>
      <c r="AP110" s="386"/>
      <c r="AQ110" s="111"/>
      <c r="AR110" s="111"/>
      <c r="AS110" s="111"/>
      <c r="AT110" s="111"/>
      <c r="AU110" s="111"/>
      <c r="AV110" s="111"/>
      <c r="AW110" s="111"/>
      <c r="AX110" s="111"/>
      <c r="AY110" s="111"/>
      <c r="AZ110" s="111"/>
      <c r="BA110" s="111"/>
    </row>
    <row r="111" spans="1:55" ht="15.75">
      <c r="A111" s="800"/>
      <c r="B111" s="589"/>
      <c r="C111" s="118"/>
      <c r="D111" s="596"/>
      <c r="E111" s="134">
        <f t="shared" si="2"/>
        <v>0</v>
      </c>
      <c r="F111" s="118"/>
      <c r="G111" s="118"/>
      <c r="H111" s="118"/>
      <c r="I111" s="118"/>
      <c r="J111" s="123"/>
      <c r="K111" s="123"/>
      <c r="L111" s="123"/>
      <c r="M111" s="123"/>
      <c r="N111" s="118"/>
      <c r="O111" s="118"/>
      <c r="P111" s="118"/>
      <c r="Q111" s="118"/>
      <c r="R111" s="118"/>
      <c r="S111" s="118"/>
      <c r="T111" s="118"/>
      <c r="U111" s="118"/>
      <c r="V111" s="118"/>
      <c r="W111" s="118"/>
      <c r="X111" s="118"/>
      <c r="Y111" s="118"/>
      <c r="Z111" s="118"/>
      <c r="AA111" s="118"/>
      <c r="AB111" s="118"/>
      <c r="AC111" s="118"/>
      <c r="AD111" s="118"/>
      <c r="AE111" s="123"/>
      <c r="AF111" s="123"/>
      <c r="AG111" s="118"/>
      <c r="AH111" s="118"/>
      <c r="AI111" s="118"/>
      <c r="AJ111" s="118"/>
      <c r="AK111" s="118"/>
      <c r="AL111" s="111"/>
      <c r="AM111" s="236"/>
      <c r="AN111" s="386"/>
      <c r="AO111" s="386"/>
      <c r="AP111" s="386"/>
      <c r="AQ111" s="111"/>
      <c r="AR111" s="111"/>
      <c r="AS111" s="111"/>
      <c r="AT111" s="111"/>
      <c r="AU111" s="111"/>
      <c r="AV111" s="111"/>
      <c r="AW111" s="111"/>
      <c r="AX111" s="111"/>
      <c r="AY111" s="111"/>
      <c r="AZ111" s="111"/>
      <c r="BA111" s="111"/>
    </row>
    <row r="112" spans="1:55" ht="15" customHeight="1">
      <c r="A112" s="792" t="s">
        <v>1067</v>
      </c>
      <c r="B112" s="587" t="s">
        <v>969</v>
      </c>
      <c r="C112" s="118"/>
      <c r="D112" s="596" t="s">
        <v>966</v>
      </c>
      <c r="E112" s="134">
        <f t="shared" si="2"/>
        <v>2</v>
      </c>
      <c r="F112" s="399"/>
      <c r="G112" s="399"/>
      <c r="H112" s="399"/>
      <c r="I112" s="399"/>
      <c r="J112" s="123"/>
      <c r="K112" s="123"/>
      <c r="L112" s="123"/>
      <c r="M112" s="123"/>
      <c r="N112" s="399"/>
      <c r="O112" s="399" t="s">
        <v>482</v>
      </c>
      <c r="P112" s="399" t="s">
        <v>482</v>
      </c>
      <c r="Q112" s="399"/>
      <c r="R112" s="399"/>
      <c r="S112" s="399"/>
      <c r="T112" s="399"/>
      <c r="U112" s="399"/>
      <c r="V112" s="399"/>
      <c r="W112" s="399"/>
      <c r="X112" s="399"/>
      <c r="Y112" s="399"/>
      <c r="Z112" s="399"/>
      <c r="AA112" s="399"/>
      <c r="AB112" s="399"/>
      <c r="AC112" s="399"/>
      <c r="AD112" s="399"/>
      <c r="AE112" s="123"/>
      <c r="AF112" s="123"/>
      <c r="AG112" s="399"/>
      <c r="AH112" s="399"/>
      <c r="AI112" s="399"/>
      <c r="AJ112" s="399"/>
      <c r="AK112" s="399"/>
      <c r="AL112" s="111"/>
      <c r="AM112" s="236"/>
      <c r="AN112" s="386"/>
      <c r="AO112" s="386"/>
      <c r="AP112" s="386"/>
      <c r="AQ112" s="111"/>
      <c r="AR112" s="111"/>
      <c r="AS112" s="111"/>
      <c r="AT112" s="111"/>
      <c r="AU112" s="111"/>
      <c r="AV112" s="111"/>
      <c r="AW112" s="111"/>
      <c r="AX112" s="111"/>
      <c r="AY112" s="111"/>
      <c r="AZ112" s="111"/>
      <c r="BA112" s="111"/>
    </row>
    <row r="113" spans="1:53" ht="15.75">
      <c r="A113" s="792"/>
      <c r="B113" s="587" t="s">
        <v>970</v>
      </c>
      <c r="C113" s="118"/>
      <c r="D113" s="596" t="s">
        <v>967</v>
      </c>
      <c r="E113" s="134">
        <f t="shared" si="2"/>
        <v>2</v>
      </c>
      <c r="F113" s="399"/>
      <c r="G113" s="399"/>
      <c r="H113" s="399"/>
      <c r="I113" s="399"/>
      <c r="J113" s="123"/>
      <c r="K113" s="123"/>
      <c r="L113" s="123"/>
      <c r="M113" s="123"/>
      <c r="N113" s="399"/>
      <c r="O113" s="399"/>
      <c r="P113" s="399"/>
      <c r="Q113" s="399"/>
      <c r="R113" s="399"/>
      <c r="S113" s="399"/>
      <c r="T113" s="399"/>
      <c r="U113" s="399"/>
      <c r="V113" s="399"/>
      <c r="W113" s="399" t="s">
        <v>482</v>
      </c>
      <c r="X113" s="399"/>
      <c r="Y113" s="399"/>
      <c r="Z113" s="399"/>
      <c r="AA113" s="399"/>
      <c r="AB113" s="399"/>
      <c r="AC113" s="399"/>
      <c r="AD113" s="399"/>
      <c r="AE113" s="123"/>
      <c r="AF113" s="123" t="s">
        <v>482</v>
      </c>
      <c r="AG113" s="399"/>
      <c r="AH113" s="399"/>
      <c r="AI113" s="399"/>
      <c r="AJ113" s="399"/>
      <c r="AK113" s="399"/>
      <c r="AL113" s="111"/>
      <c r="AM113" s="236"/>
      <c r="AN113" s="386"/>
      <c r="AO113" s="386"/>
      <c r="AP113" s="386"/>
      <c r="AQ113" s="111"/>
      <c r="AR113" s="111"/>
      <c r="AS113" s="111"/>
      <c r="AT113" s="111"/>
      <c r="AU113" s="111"/>
      <c r="AV113" s="111"/>
      <c r="AW113" s="111"/>
      <c r="AX113" s="111"/>
      <c r="AY113" s="111"/>
      <c r="AZ113" s="111"/>
      <c r="BA113" s="111"/>
    </row>
    <row r="114" spans="1:53" ht="18.75" customHeight="1">
      <c r="A114" s="792"/>
      <c r="B114" s="590" t="s">
        <v>971</v>
      </c>
      <c r="C114" s="118"/>
      <c r="D114" s="596" t="s">
        <v>968</v>
      </c>
      <c r="E114" s="134">
        <f t="shared" si="2"/>
        <v>4</v>
      </c>
      <c r="F114" s="383"/>
      <c r="G114" s="383"/>
      <c r="H114" s="383"/>
      <c r="I114" s="383"/>
      <c r="J114" s="383"/>
      <c r="K114" s="383"/>
      <c r="L114" s="383" t="s">
        <v>482</v>
      </c>
      <c r="M114" s="383"/>
      <c r="N114" s="383"/>
      <c r="O114" s="383"/>
      <c r="P114" s="383"/>
      <c r="Q114" s="383"/>
      <c r="R114" s="383"/>
      <c r="S114" s="383"/>
      <c r="T114" s="383"/>
      <c r="U114" s="383" t="s">
        <v>482</v>
      </c>
      <c r="V114" s="383"/>
      <c r="W114" s="383"/>
      <c r="X114" s="383" t="s">
        <v>482</v>
      </c>
      <c r="Y114" s="383"/>
      <c r="Z114" s="383"/>
      <c r="AA114" s="383"/>
      <c r="AB114" s="383"/>
      <c r="AC114" s="383"/>
      <c r="AD114" s="383"/>
      <c r="AE114" s="401"/>
      <c r="AF114" s="401"/>
      <c r="AG114" s="383"/>
      <c r="AH114" s="383"/>
      <c r="AI114" s="383"/>
      <c r="AJ114" s="383"/>
      <c r="AK114" s="383" t="s">
        <v>482</v>
      </c>
      <c r="AL114" s="401"/>
      <c r="AM114" s="389"/>
      <c r="AN114" s="390"/>
      <c r="AO114" s="390"/>
      <c r="AP114" s="390"/>
      <c r="AQ114" s="401"/>
      <c r="AR114" s="401"/>
      <c r="AS114" s="401"/>
      <c r="AT114" s="401"/>
      <c r="AU114" s="401"/>
      <c r="AV114" s="401"/>
      <c r="AW114" s="401"/>
      <c r="AX114" s="401"/>
      <c r="AY114" s="401"/>
      <c r="AZ114" s="401"/>
      <c r="BA114" s="401"/>
    </row>
    <row r="115" spans="1:53" ht="15.75">
      <c r="A115" s="798"/>
      <c r="B115" s="589"/>
      <c r="C115" s="118"/>
      <c r="D115" s="596"/>
      <c r="E115" s="134">
        <f t="shared" si="2"/>
        <v>0</v>
      </c>
      <c r="F115" s="118"/>
      <c r="G115" s="118"/>
      <c r="H115" s="118"/>
      <c r="I115" s="118"/>
      <c r="J115" s="123"/>
      <c r="K115" s="123"/>
      <c r="L115" s="123"/>
      <c r="M115" s="123"/>
      <c r="N115" s="118"/>
      <c r="O115" s="118"/>
      <c r="P115" s="118"/>
      <c r="Q115" s="118"/>
      <c r="R115" s="118"/>
      <c r="S115" s="118"/>
      <c r="T115" s="118"/>
      <c r="U115" s="118"/>
      <c r="V115" s="118"/>
      <c r="W115" s="118"/>
      <c r="X115" s="118"/>
      <c r="Y115" s="118"/>
      <c r="Z115" s="118"/>
      <c r="AA115" s="118"/>
      <c r="AB115" s="118"/>
      <c r="AC115" s="118"/>
      <c r="AD115" s="118"/>
      <c r="AE115" s="123"/>
      <c r="AF115" s="123"/>
      <c r="AG115" s="118"/>
      <c r="AH115" s="118"/>
      <c r="AI115" s="118"/>
      <c r="AJ115" s="118"/>
      <c r="AK115" s="118"/>
      <c r="AL115" s="111"/>
      <c r="AM115" s="236"/>
      <c r="AN115" s="386"/>
      <c r="AO115" s="386"/>
      <c r="AP115" s="386"/>
      <c r="AQ115" s="111"/>
      <c r="AR115" s="111"/>
      <c r="AS115" s="111"/>
      <c r="AT115" s="111"/>
      <c r="AU115" s="111"/>
      <c r="AV115" s="111"/>
      <c r="AW115" s="111"/>
      <c r="AX115" s="111"/>
      <c r="AY115" s="111"/>
      <c r="AZ115" s="111"/>
      <c r="BA115" s="111"/>
    </row>
    <row r="116" spans="1:53" ht="15.75">
      <c r="A116" s="798"/>
      <c r="B116" s="589"/>
      <c r="C116" s="118"/>
      <c r="D116" s="596"/>
      <c r="E116" s="134">
        <f t="shared" si="2"/>
        <v>0</v>
      </c>
      <c r="F116" s="118"/>
      <c r="G116" s="118"/>
      <c r="H116" s="118"/>
      <c r="I116" s="118"/>
      <c r="J116" s="123"/>
      <c r="K116" s="123"/>
      <c r="L116" s="123"/>
      <c r="M116" s="123"/>
      <c r="N116" s="118"/>
      <c r="O116" s="118"/>
      <c r="P116" s="118"/>
      <c r="Q116" s="118"/>
      <c r="R116" s="118"/>
      <c r="S116" s="118"/>
      <c r="T116" s="118"/>
      <c r="U116" s="118"/>
      <c r="V116" s="118"/>
      <c r="W116" s="118"/>
      <c r="X116" s="118"/>
      <c r="Y116" s="118"/>
      <c r="Z116" s="118"/>
      <c r="AA116" s="118"/>
      <c r="AB116" s="118"/>
      <c r="AC116" s="118"/>
      <c r="AD116" s="118"/>
      <c r="AE116" s="123"/>
      <c r="AF116" s="123"/>
      <c r="AG116" s="118"/>
      <c r="AH116" s="118"/>
      <c r="AI116" s="118"/>
      <c r="AJ116" s="118"/>
      <c r="AK116" s="118"/>
      <c r="AL116" s="111"/>
      <c r="AM116" s="236"/>
      <c r="AN116" s="386"/>
      <c r="AO116" s="386"/>
      <c r="AP116" s="386"/>
      <c r="AQ116" s="111"/>
      <c r="AR116" s="111"/>
      <c r="AS116" s="111"/>
      <c r="AT116" s="111"/>
      <c r="AU116" s="111"/>
      <c r="AV116" s="111"/>
      <c r="AW116" s="111"/>
      <c r="AX116" s="111"/>
      <c r="AY116" s="111"/>
      <c r="AZ116" s="111"/>
      <c r="BA116" s="111"/>
    </row>
    <row r="117" spans="1:53" ht="15.75">
      <c r="A117" s="798"/>
      <c r="B117" s="591"/>
      <c r="C117" s="118"/>
      <c r="D117" s="596"/>
      <c r="E117" s="134">
        <f t="shared" si="2"/>
        <v>0</v>
      </c>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260"/>
      <c r="AF117" s="260"/>
      <c r="AG117" s="383"/>
      <c r="AH117" s="383"/>
      <c r="AI117" s="383"/>
      <c r="AJ117" s="383"/>
      <c r="AK117" s="383"/>
      <c r="AL117" s="260"/>
      <c r="AM117" s="389"/>
      <c r="AN117" s="390"/>
      <c r="AO117" s="390"/>
      <c r="AP117" s="390"/>
      <c r="AQ117" s="260"/>
      <c r="AR117" s="260"/>
      <c r="AS117" s="260"/>
      <c r="AT117" s="260"/>
      <c r="AU117" s="260"/>
      <c r="AV117" s="260"/>
      <c r="AW117" s="260"/>
      <c r="AX117" s="260"/>
      <c r="AY117" s="260"/>
      <c r="AZ117" s="260"/>
      <c r="BA117" s="260"/>
    </row>
    <row r="119" spans="1:53">
      <c r="A119" s="140"/>
    </row>
  </sheetData>
  <mergeCells count="18">
    <mergeCell ref="A115:A117"/>
    <mergeCell ref="A110:A111"/>
    <mergeCell ref="A84:A91"/>
    <mergeCell ref="A92:A99"/>
    <mergeCell ref="A100:A107"/>
    <mergeCell ref="A36:A43"/>
    <mergeCell ref="A108:A109"/>
    <mergeCell ref="A112:A114"/>
    <mergeCell ref="A52:A59"/>
    <mergeCell ref="A60:A67"/>
    <mergeCell ref="A68:A75"/>
    <mergeCell ref="A76:A83"/>
    <mergeCell ref="A44:A51"/>
    <mergeCell ref="A4:A11"/>
    <mergeCell ref="A12:A19"/>
    <mergeCell ref="A20:A27"/>
    <mergeCell ref="A3:C3"/>
    <mergeCell ref="A28:A35"/>
  </mergeCells>
  <conditionalFormatting sqref="D6:D11 D13:D19 D23:D27 D29 D102:D117 D61:D76 D31 D33:D59 D78:D99">
    <cfRule type="duplicateValues" dxfId="10" priority="35"/>
  </conditionalFormatting>
  <conditionalFormatting sqref="D12">
    <cfRule type="duplicateValues" dxfId="9" priority="10"/>
  </conditionalFormatting>
  <conditionalFormatting sqref="D20">
    <cfRule type="duplicateValues" dxfId="8" priority="9"/>
  </conditionalFormatting>
  <conditionalFormatting sqref="D28">
    <cfRule type="duplicateValues" dxfId="7" priority="8"/>
  </conditionalFormatting>
  <conditionalFormatting sqref="D21">
    <cfRule type="duplicateValues" dxfId="6" priority="7"/>
  </conditionalFormatting>
  <conditionalFormatting sqref="D22">
    <cfRule type="duplicateValues" dxfId="5" priority="6"/>
  </conditionalFormatting>
  <conditionalFormatting sqref="D100:D101">
    <cfRule type="duplicateValues" dxfId="4" priority="5"/>
  </conditionalFormatting>
  <conditionalFormatting sqref="D60">
    <cfRule type="duplicateValues" dxfId="3" priority="4"/>
  </conditionalFormatting>
  <conditionalFormatting sqref="D30">
    <cfRule type="duplicateValues" dxfId="2" priority="3"/>
  </conditionalFormatting>
  <conditionalFormatting sqref="D32">
    <cfRule type="duplicateValues" dxfId="1" priority="2"/>
  </conditionalFormatting>
  <conditionalFormatting sqref="D77">
    <cfRule type="duplicateValues" priority="1"/>
  </conditionalFormatting>
  <pageMargins left="0.7" right="0.7" top="0.75" bottom="0.75" header="0.3" footer="0.3"/>
  <pageSetup paperSize="9" scale="21" orientation="landscape"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sheetPr>
  <dimension ref="A1:AM47"/>
  <sheetViews>
    <sheetView topLeftCell="D28" zoomScale="75" zoomScaleNormal="75" workbookViewId="0">
      <selection activeCell="AL4" sqref="AL4"/>
    </sheetView>
  </sheetViews>
  <sheetFormatPr baseColWidth="10" defaultRowHeight="15"/>
  <cols>
    <col min="1" max="1" width="23.5703125" customWidth="1"/>
    <col min="2" max="2" width="7.7109375" customWidth="1"/>
    <col min="3" max="3" width="67.85546875" customWidth="1"/>
    <col min="4" max="7" width="10.85546875" customWidth="1"/>
    <col min="8" max="8" width="3.140625" customWidth="1"/>
    <col min="9" max="38" width="5.140625" customWidth="1"/>
  </cols>
  <sheetData>
    <row r="1" spans="1:39" ht="21.75" customHeight="1" thickBot="1">
      <c r="I1" s="809" t="s">
        <v>259</v>
      </c>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1"/>
    </row>
    <row r="2" spans="1:39" ht="17.25" customHeight="1" thickBot="1">
      <c r="H2" s="359"/>
      <c r="I2" s="360" t="str">
        <f>IF(MATCH(Progression_Cycle4!I4,Problématiques_compétences!$D$1:$D$118,0)&gt;107,"P","")</f>
        <v/>
      </c>
      <c r="J2" s="360" t="str">
        <f>IF(MATCH(Progression_Cycle4!J4,Problématiques_compétences!$D$1:$D$118,0)&gt;107,"P","")</f>
        <v/>
      </c>
      <c r="K2" s="360" t="str">
        <f>IF(MATCH(Progression_Cycle4!K4,Problématiques_compétences!$D$1:$D$118,0)&gt;107,"P","")</f>
        <v/>
      </c>
      <c r="L2" s="360" t="str">
        <f>IF(MATCH(Progression_Cycle4!L4,Problématiques_compétences!$D$1:$D$118,0)&gt;107,"P","")</f>
        <v/>
      </c>
      <c r="M2" s="360" t="str">
        <f>IF(MATCH(Progression_Cycle4!M4,Problématiques_compétences!$D$1:$D$118,0)&gt;107,"P","")</f>
        <v/>
      </c>
      <c r="N2" s="360" t="s">
        <v>570</v>
      </c>
      <c r="O2" s="360" t="s">
        <v>570</v>
      </c>
      <c r="P2" s="360" t="s">
        <v>570</v>
      </c>
      <c r="Q2" s="360" t="str">
        <f>IF(MATCH(Progression_Cycle4!Q4,Problématiques_compétences!$D$1:$D$118,0)&gt;107,"P","")</f>
        <v/>
      </c>
      <c r="R2" s="360" t="str">
        <f>IF(MATCH(Progression_Cycle4!R4,Problématiques_compétences!$D$1:$D$118,0)&gt;107,"P","")</f>
        <v/>
      </c>
      <c r="S2" s="360" t="str">
        <f>IF(MATCH(Progression_Cycle4!S4,Problématiques_compétences!$D$1:$D$118,0)&gt;107,"P","")</f>
        <v/>
      </c>
      <c r="T2" s="360" t="str">
        <f>IF(MATCH(Progression_Cycle4!T4,Problématiques_compétences!$D$1:$D$118,0)&gt;107,"P","")</f>
        <v/>
      </c>
      <c r="U2" s="360" t="s">
        <v>570</v>
      </c>
      <c r="V2" s="360" t="s">
        <v>570</v>
      </c>
      <c r="W2" s="360" t="s">
        <v>570</v>
      </c>
      <c r="X2" s="360" t="str">
        <f>IF(MATCH(Progression_Cycle4!X4,Problématiques_compétences!$D$1:$D$118,0)&gt;107,"P","")</f>
        <v/>
      </c>
      <c r="Y2" s="360" t="s">
        <v>570</v>
      </c>
      <c r="Z2" s="360" t="s">
        <v>570</v>
      </c>
      <c r="AA2" s="360" t="str">
        <f>IF(MATCH(Progression_Cycle4!AA4,Problématiques_compétences!$D$1:$D$118,0)&gt;107,"P","")</f>
        <v>P</v>
      </c>
      <c r="AB2" s="360" t="str">
        <f>IF(MATCH(Progression_Cycle4!AB4,Problématiques_compétences!$D$1:$D$118,0)&gt;107,"P","")</f>
        <v>P</v>
      </c>
      <c r="AC2" s="360" t="str">
        <f>IF(MATCH(Progression_Cycle4!AC4,Problématiques_compétences!$D$1:$D$118,0)&gt;107,"P","")</f>
        <v/>
      </c>
      <c r="AD2" s="360" t="str">
        <f>IF(MATCH(Progression_Cycle4!AD4,Problématiques_compétences!$D$1:$D$118,0)&gt;107,"P","")</f>
        <v/>
      </c>
      <c r="AE2" s="360" t="str">
        <f>IF(MATCH(Progression_Cycle4!AE4,Problématiques_compétences!$D$1:$D$118,0)&gt;107,"P","")</f>
        <v/>
      </c>
      <c r="AF2" s="360" t="str">
        <f>IF(MATCH(Progression_Cycle4!AF4,Problématiques_compétences!$D$1:$D$118,0)&gt;107,"P","")</f>
        <v/>
      </c>
      <c r="AG2" s="360" t="str">
        <f>IF(MATCH(Progression_Cycle4!AG4,Problématiques_compétences!$D$1:$D$118,0)&gt;107,"P","")</f>
        <v/>
      </c>
      <c r="AH2" s="360" t="str">
        <f>IF(MATCH(Progression_Cycle4!AH4,Problématiques_compétences!$D$1:$D$118,0)&gt;107,"P","")</f>
        <v>P</v>
      </c>
      <c r="AI2" s="360" t="str">
        <f>IF(MATCH(Progression_Cycle4!AI4,Problématiques_compétences!$D$1:$D$118,0)&gt;107,"P","")</f>
        <v>P</v>
      </c>
      <c r="AJ2" s="360" t="str">
        <f>IF(MATCH(Progression_Cycle4!AJ4,Problématiques_compétences!$D$1:$D$118,0)&gt;107,"P","")</f>
        <v>P</v>
      </c>
      <c r="AK2" s="360" t="str">
        <f>IF(MATCH(Progression_Cycle4!AK4,Problématiques_compétences!$D$1:$D$118,0)&gt;107,"P","")</f>
        <v/>
      </c>
      <c r="AL2" s="360" t="str">
        <f>IF(MATCH(Progression_Cycle4!AL4,Problématiques_compétences!$D$1:$D$118,0)&gt;107,"P","")</f>
        <v/>
      </c>
    </row>
    <row r="3" spans="1:39" ht="271.5" customHeight="1" thickBot="1">
      <c r="A3" s="832" t="s">
        <v>416</v>
      </c>
      <c r="B3" s="832"/>
      <c r="C3" s="832"/>
      <c r="D3" s="75" t="s">
        <v>1</v>
      </c>
      <c r="E3" s="76" t="s">
        <v>2</v>
      </c>
      <c r="F3" s="76" t="s">
        <v>3</v>
      </c>
      <c r="G3" s="77" t="s">
        <v>4</v>
      </c>
      <c r="H3" s="65" t="s">
        <v>343</v>
      </c>
      <c r="I3" s="141" t="str">
        <f>INDEX(Problématiques_compétences!$B$3:$D$118,MATCH(Progression_Cycle4!I4,Problématiques_compétences!$D$3:$D$118,0),1)</f>
        <v>Pourquoi une construction treillis permet-elle de franchir un obstacle sans danger ?</v>
      </c>
      <c r="J3" s="141" t="str">
        <f>INDEX(Problématiques_compétences!$B$3:$D$118,MATCH(Progression_Cycle4!J4,Problématiques_compétences!$D$3:$D$118,0),1)</f>
        <v>Comment intégrer un ouvrage dans son environnement ?</v>
      </c>
      <c r="K3" s="141" t="str">
        <f>INDEX(Problématiques_compétences!$B$3:$D$118,MATCH(Progression_Cycle4!K4,Problématiques_compétences!$D$3:$D$118,0),1)</f>
        <v>Comment franchir un obstacle sans danger ?</v>
      </c>
      <c r="L3" s="141" t="str">
        <f>INDEX(Problématiques_compétences!$B$3:$D$118,MATCH(Progression_Cycle4!L4,Problématiques_compétences!$D$3:$D$118,0),1)</f>
        <v>Comment penser l'aménagement d'un conteneur maritime pour en faire une habitation pour étudiant ?</v>
      </c>
      <c r="M3" s="141" t="str">
        <f>INDEX(Problématiques_compétences!$B$3:$D$118,MATCH(Progression_Cycle4!M4,Problématiques_compétences!$D$3:$D$118,0),1)</f>
        <v>Comment rendre une vue aérienne interactive ?</v>
      </c>
      <c r="N3" s="141" t="str">
        <f>INDEX(Problématiques_compétences!$B$3:$D$118,MATCH(Progression_Cycle4!N4,Problématiques_compétences!$D$3:$D$118,0),1)</f>
        <v>Appropriation du cahier des charges et recherche de solutions</v>
      </c>
      <c r="O3" s="141" t="str">
        <f>INDEX(Problématiques_compétences!$B$3:$D$118,MATCH(Progression_Cycle4!O4,Problématiques_compétences!$D$3:$D$118,0),1)</f>
        <v>Réalisation</v>
      </c>
      <c r="P3" s="141" t="str">
        <f>INDEX(Problématiques_compétences!$B$3:$D$118,MATCH(Progression_Cycle4!P4,Problématiques_compétences!$D$3:$D$118,0),1)</f>
        <v>Test et validation</v>
      </c>
      <c r="Q3" s="141" t="str">
        <f>INDEX(Problématiques_compétences!$B$3:$D$118,MATCH(Progression_Cycle4!Q4,Problématiques_compétences!$D$3:$D$118,0),1)</f>
        <v>Comment utiliser la simulation pour effectuer les choix de solutions techniques?</v>
      </c>
      <c r="R3" s="141" t="str">
        <f>INDEX(Problématiques_compétences!$B$3:$D$118,MATCH(Progression_Cycle4!R4,Problématiques_compétences!$D$3:$D$118,0),1)</f>
        <v>Quel éclairage pour demain ?</v>
      </c>
      <c r="S3" s="141" t="str">
        <f>INDEX(Problématiques_compétences!$B$3:$D$118,MATCH(Progression_Cycle4!S4,Problématiques_compétences!$D$3:$D$118,0),1)</f>
        <v xml:space="preserve">Comment surveiller une zone dans une habitation ? </v>
      </c>
      <c r="T3" s="141" t="str">
        <f>INDEX(Problématiques_compétences!$B$3:$D$118,MATCH(Progression_Cycle4!T4,Problématiques_compétences!$D$3:$D$118,0),1)</f>
        <v>Comment une alarme intéragit avec son environnement ?</v>
      </c>
      <c r="U3" s="141" t="str">
        <f>INDEX(Problématiques_compétences!$B$3:$D$118,MATCH(Progression_Cycle4!U4,Problématiques_compétences!$D$3:$D$118,0),1)</f>
        <v xml:space="preserve"> Comment adapter un éclairage urbain dans son contexte ?</v>
      </c>
      <c r="V3" s="141" t="str">
        <f>INDEX(Problématiques_compétences!$B$3:$D$118,MATCH(Progression_Cycle4!V4,Problématiques_compétences!$D$3:$D$118,0),1)</f>
        <v>Recherches de solutions</v>
      </c>
      <c r="W3" s="141" t="str">
        <f>INDEX(Problématiques_compétences!$B$3:$D$118,MATCH(Progression_Cycle4!W4,Problématiques_compétences!$D$3:$D$118,0),1)</f>
        <v>Réalisation - test et validation</v>
      </c>
      <c r="X3" s="141" t="str">
        <f>INDEX(Problématiques_compétences!$B$3:$D$118,MATCH(Progression_Cycle4!X4,Problématiques_compétences!$D$3:$D$118,0),1)</f>
        <v>Comment gérer les contraintes de conception d'un système domotique ?</v>
      </c>
      <c r="Y3" s="141" t="str">
        <f>INDEX(Problématiques_compétences!$B$3:$D$118,MATCH(Progression_Cycle4!Y4,Problématiques_compétences!$D$3:$D$118,0),1)</f>
        <v>Appropriation du cahier des charges et recherche de solutions</v>
      </c>
      <c r="Z3" s="141" t="str">
        <f>INDEX(Problématiques_compétences!$B$3:$D$118,MATCH(Progression_Cycle4!Z4,Problématiques_compétences!$D$3:$D$118,0),1)</f>
        <v>Réalisation - test et validation</v>
      </c>
      <c r="AA3" s="141" t="str">
        <f>INDEX(Problématiques_compétences!$B$3:$D$118,MATCH(Progression_Cycle4!AA4,Problématiques_compétences!$D$3:$D$118,0),1)</f>
        <v>Analyse du besoin et proposition d'une solution d'adaptation.</v>
      </c>
      <c r="AB3" s="141" t="str">
        <f>INDEX(Problématiques_compétences!$B$3:$D$118,MATCH(Progression_Cycle4!AB4,Problématiques_compétences!$D$3:$D$118,0),1)</f>
        <v>Description du fonctionnement (simulation) et programmation.</v>
      </c>
      <c r="AC3" s="141" t="str">
        <f>INDEX(Problématiques_compétences!$B$3:$D$118,MATCH(Progression_Cycle4!AC4,Problématiques_compétences!$D$3:$D$118,0),1)</f>
        <v>Comment les ordinateurs arrivent-ils à communiquer ?</v>
      </c>
      <c r="AD3" s="141" t="str">
        <f>INDEX(Problématiques_compétences!$B$3:$D$118,MATCH(Progression_Cycle4!AD4,Problématiques_compétences!$D$3:$D$118,0),1)</f>
        <v>Comment réaliser une application androïd à destination des parents d'élève</v>
      </c>
      <c r="AE3" s="141" t="str">
        <f>INDEX(Problématiques_compétences!$B$3:$D$118,MATCH(Progression_Cycle4!AE4,Problématiques_compétences!$D$3:$D$118,0),1)</f>
        <v>comment la technologie nous informe sur notre santé ?</v>
      </c>
      <c r="AF3" s="141" t="str">
        <f>INDEX(Problématiques_compétences!$B$3:$D$118,MATCH(Progression_Cycle4!AF4,Problématiques_compétences!$D$3:$D$118,0),1)</f>
        <v xml:space="preserve">Comment utiliser  la technologie RFID ? (ouvrir automatiquement un portail ) </v>
      </c>
      <c r="AG3" s="141" t="str">
        <f>INDEX(Problématiques_compétences!$B$3:$D$118,MATCH(Progression_Cycle4!AG4,Problématiques_compétences!$D$3:$D$118,0),1)</f>
        <v xml:space="preserve">Comment piloter par l’intermédiaire d’un Smartphone ou d’une tablette un système technique ? </v>
      </c>
      <c r="AH3" s="141" t="str">
        <f>INDEX(Problématiques_compétences!$B$3:$D$118,MATCH(Progression_Cycle4!AH4,Problématiques_compétences!$D$3:$D$118,0),1)</f>
        <v>Appropriation du CDC et Recherches de solutions</v>
      </c>
      <c r="AI3" s="141" t="str">
        <f>INDEX(Problématiques_compétences!$B$3:$D$118,MATCH(Progression_Cycle4!AI4,Problématiques_compétences!$D$3:$D$118,0),1)</f>
        <v>Réalisation, test et validation - Présentation finale, synthèse</v>
      </c>
      <c r="AJ3" s="141" t="str">
        <f>INDEX(Problématiques_compétences!$B$3:$D$118,MATCH(Progression_Cycle4!AJ4,Problématiques_compétences!$D$3:$D$118,0),1)</f>
        <v>Les robots...Avancée technologique ? .. Espoir ? ..  Inquiétude ? Quels impacts sur la société ?</v>
      </c>
      <c r="AK3" s="141" t="str">
        <f>INDEX(Problématiques_compétences!$B$3:$D$118,MATCH(Progression_Cycle4!AK4,Problématiques_compétences!$D$3:$D$118,0),1)</f>
        <v xml:space="preserve">Comment automatiser des tâches sur son smartphone? </v>
      </c>
      <c r="AL3" s="141" t="str">
        <f>INDEX(Problématiques_compétences!$B$3:$D$118,MATCH(Progression_Cycle4!AL4,Problématiques_compétences!$D$3:$D$118,0),1)</f>
        <v>Comment aider une personne ayant subi un AVC à rééduquer la motricité de ses membres supérieures à l'aide de la réalité augmentée ?</v>
      </c>
    </row>
    <row r="4" spans="1:39">
      <c r="A4" s="835" t="s">
        <v>5</v>
      </c>
      <c r="B4" s="836"/>
      <c r="C4" s="836"/>
      <c r="D4" s="836"/>
      <c r="E4" s="836"/>
      <c r="F4" s="836"/>
      <c r="G4" s="837"/>
      <c r="H4" s="65"/>
      <c r="I4" s="1" t="s">
        <v>6</v>
      </c>
      <c r="J4" s="1" t="s">
        <v>7</v>
      </c>
      <c r="K4" s="1" t="s">
        <v>8</v>
      </c>
      <c r="L4" s="1" t="s">
        <v>9</v>
      </c>
      <c r="M4" s="1" t="s">
        <v>10</v>
      </c>
      <c r="N4" s="1" t="s">
        <v>11</v>
      </c>
      <c r="O4" s="1" t="s">
        <v>12</v>
      </c>
      <c r="P4" s="1" t="s">
        <v>13</v>
      </c>
      <c r="Q4" s="1" t="s">
        <v>14</v>
      </c>
      <c r="R4" s="1" t="s">
        <v>15</v>
      </c>
      <c r="S4" s="1" t="s">
        <v>16</v>
      </c>
      <c r="T4" s="1" t="s">
        <v>17</v>
      </c>
      <c r="U4" s="1" t="s">
        <v>18</v>
      </c>
      <c r="V4" s="1" t="s">
        <v>19</v>
      </c>
      <c r="W4" s="1" t="s">
        <v>20</v>
      </c>
      <c r="X4" s="1" t="s">
        <v>21</v>
      </c>
      <c r="Y4" s="1" t="s">
        <v>22</v>
      </c>
      <c r="Z4" s="1" t="s">
        <v>23</v>
      </c>
      <c r="AA4" s="1" t="s">
        <v>24</v>
      </c>
      <c r="AB4" s="1" t="s">
        <v>25</v>
      </c>
      <c r="AC4" s="7" t="s">
        <v>26</v>
      </c>
      <c r="AD4" s="7" t="s">
        <v>27</v>
      </c>
      <c r="AE4" s="7" t="s">
        <v>28</v>
      </c>
      <c r="AF4" s="7" t="s">
        <v>29</v>
      </c>
      <c r="AG4" s="7" t="s">
        <v>30</v>
      </c>
      <c r="AH4" s="7" t="s">
        <v>31</v>
      </c>
      <c r="AI4" s="7" t="s">
        <v>32</v>
      </c>
      <c r="AJ4" s="7" t="s">
        <v>33</v>
      </c>
      <c r="AK4" s="7" t="s">
        <v>34</v>
      </c>
      <c r="AL4" s="8" t="s">
        <v>35</v>
      </c>
    </row>
    <row r="5" spans="1:39" ht="15.75" thickBot="1">
      <c r="A5" s="838" t="s">
        <v>251</v>
      </c>
      <c r="B5" s="812"/>
      <c r="C5" s="812"/>
      <c r="D5" s="812"/>
      <c r="E5" s="812"/>
      <c r="F5" s="812"/>
      <c r="G5" s="812"/>
      <c r="H5" s="65"/>
      <c r="I5" s="812"/>
      <c r="J5" s="812"/>
      <c r="K5" s="812"/>
      <c r="L5" s="812"/>
      <c r="M5" s="812"/>
      <c r="N5" s="812"/>
      <c r="O5" s="812"/>
      <c r="P5" s="812"/>
      <c r="Q5" s="812"/>
      <c r="R5" s="812"/>
      <c r="S5" s="824"/>
      <c r="T5" s="825"/>
      <c r="U5" s="825"/>
      <c r="V5" s="825"/>
      <c r="W5" s="825"/>
      <c r="X5" s="825"/>
      <c r="Y5" s="825"/>
      <c r="Z5" s="825"/>
      <c r="AA5" s="825"/>
      <c r="AB5" s="826"/>
      <c r="AC5" s="813"/>
      <c r="AD5" s="814"/>
      <c r="AE5" s="814"/>
      <c r="AF5" s="814"/>
      <c r="AG5" s="814"/>
      <c r="AH5" s="814"/>
      <c r="AI5" s="814"/>
      <c r="AJ5" s="814"/>
      <c r="AK5" s="814"/>
      <c r="AL5" s="815"/>
    </row>
    <row r="6" spans="1:39" ht="15.75" thickBot="1">
      <c r="A6" s="821" t="s">
        <v>314</v>
      </c>
      <c r="B6" s="822"/>
      <c r="C6" s="822"/>
      <c r="D6" s="822"/>
      <c r="E6" s="822"/>
      <c r="F6" s="822"/>
      <c r="G6" s="823"/>
      <c r="H6" s="66"/>
      <c r="I6" s="356"/>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8"/>
      <c r="AM6" s="64"/>
    </row>
    <row r="7" spans="1:39" ht="16.5" customHeight="1" thickBot="1">
      <c r="A7" s="153" t="s">
        <v>244</v>
      </c>
      <c r="B7" s="816" t="s">
        <v>243</v>
      </c>
      <c r="C7" s="817"/>
      <c r="D7" s="818" t="s">
        <v>242</v>
      </c>
      <c r="E7" s="819"/>
      <c r="F7" s="819"/>
      <c r="G7" s="820"/>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2"/>
    </row>
    <row r="8" spans="1:39">
      <c r="A8" s="678" t="s">
        <v>230</v>
      </c>
      <c r="B8" s="215">
        <v>1</v>
      </c>
      <c r="C8" s="216" t="s">
        <v>43</v>
      </c>
      <c r="D8" s="827"/>
      <c r="E8" s="828"/>
      <c r="F8" s="828"/>
      <c r="G8" s="828"/>
      <c r="H8" s="828"/>
      <c r="I8" s="828"/>
      <c r="J8" s="828"/>
      <c r="K8" s="828"/>
      <c r="L8" s="828"/>
      <c r="M8" s="828"/>
      <c r="N8" s="828"/>
      <c r="O8" s="828"/>
      <c r="P8" s="828"/>
      <c r="Q8" s="828"/>
      <c r="R8" s="828"/>
      <c r="S8" s="828"/>
      <c r="T8" s="828"/>
      <c r="U8" s="828"/>
      <c r="V8" s="828"/>
      <c r="W8" s="828"/>
      <c r="X8" s="828"/>
      <c r="Y8" s="828"/>
      <c r="Z8" s="828"/>
      <c r="AA8" s="828"/>
      <c r="AB8" s="828"/>
      <c r="AC8" s="828"/>
      <c r="AD8" s="828"/>
      <c r="AE8" s="828"/>
      <c r="AF8" s="828"/>
      <c r="AG8" s="828"/>
      <c r="AH8" s="828"/>
      <c r="AI8" s="828"/>
      <c r="AJ8" s="828"/>
      <c r="AK8" s="828"/>
      <c r="AL8" s="829"/>
      <c r="AM8" s="61"/>
    </row>
    <row r="9" spans="1:39" ht="30">
      <c r="A9" s="679"/>
      <c r="B9" s="217" t="s">
        <v>239</v>
      </c>
      <c r="C9" s="218" t="s">
        <v>329</v>
      </c>
      <c r="D9" s="349" t="s">
        <v>238</v>
      </c>
      <c r="E9" s="347"/>
      <c r="F9" s="342" t="s">
        <v>140</v>
      </c>
      <c r="G9" s="348"/>
      <c r="H9" s="6">
        <f>COUNTIF(I9:AL9,"x")</f>
        <v>1</v>
      </c>
      <c r="I9" s="254">
        <f>INDEX(Problématiques_compétences!$D$3:$BA$118,MATCH(Progression_Cycle4!I$4,Problématiques_compétences!$D$3:$D$118,0),3)</f>
        <v>0</v>
      </c>
      <c r="J9" s="254">
        <f>INDEX(Problématiques_compétences!$D$3:$BA$118,MATCH(Progression_Cycle4!J$4,Problématiques_compétences!$D$3:$D$118,0),3)</f>
        <v>0</v>
      </c>
      <c r="K9" s="254">
        <f>INDEX(Problématiques_compétences!$D$3:$BA$118,MATCH(Progression_Cycle4!K$4,Problématiques_compétences!$D$3:$D$118,0),3)</f>
        <v>0</v>
      </c>
      <c r="L9" s="254">
        <f>INDEX(Problématiques_compétences!$D$3:$BA$118,MATCH(Progression_Cycle4!L$4,Problématiques_compétences!$D$3:$D$118,0),3)</f>
        <v>0</v>
      </c>
      <c r="M9" s="254">
        <f>INDEX(Problématiques_compétences!$D$3:$BA$118,MATCH(Progression_Cycle4!M$4,Problématiques_compétences!$D$3:$D$118,0),3)</f>
        <v>0</v>
      </c>
      <c r="N9" s="254">
        <f>INDEX(Problématiques_compétences!$D$3:$BA$118,MATCH(Progression_Cycle4!N$4,Problématiques_compétences!$D$3:$D$118,0),3)</f>
        <v>0</v>
      </c>
      <c r="O9" s="254">
        <f>INDEX(Problématiques_compétences!$D$3:$BA$118,MATCH(Progression_Cycle4!O$4,Problématiques_compétences!$D$3:$D$118,0),3)</f>
        <v>0</v>
      </c>
      <c r="P9" s="254">
        <f>INDEX(Problématiques_compétences!$D$3:$BA$118,MATCH(Progression_Cycle4!P$4,Problématiques_compétences!$D$3:$D$118,0),3)</f>
        <v>0</v>
      </c>
      <c r="Q9" s="254">
        <f>INDEX(Problématiques_compétences!$D$3:$BA$118,MATCH(Progression_Cycle4!Q$4,Problématiques_compétences!$D$3:$D$118,0),3)</f>
        <v>0</v>
      </c>
      <c r="R9" s="254">
        <f>INDEX(Problématiques_compétences!$D$3:$BA$118,MATCH(Progression_Cycle4!R$4,Problématiques_compétences!$D$3:$D$118,0),3)</f>
        <v>0</v>
      </c>
      <c r="S9" s="254">
        <f>INDEX(Problématiques_compétences!$D$3:$BA$118,MATCH(Progression_Cycle4!S$4,Problématiques_compétences!$D$3:$D$118,0),3)</f>
        <v>0</v>
      </c>
      <c r="T9" s="254" t="str">
        <f>INDEX(Problématiques_compétences!$D$3:$BA$118,MATCH(Progression_Cycle4!T$4,Problématiques_compétences!$D$3:$D$118,0),3)</f>
        <v>x</v>
      </c>
      <c r="U9" s="254">
        <f>INDEX(Problématiques_compétences!$D$3:$BA$118,MATCH(Progression_Cycle4!U$4,Problématiques_compétences!$D$3:$D$118,0),3)</f>
        <v>0</v>
      </c>
      <c r="V9" s="254">
        <f>INDEX(Problématiques_compétences!$D$3:$BA$118,MATCH(Progression_Cycle4!V$4,Problématiques_compétences!$D$3:$D$118,0),3)</f>
        <v>0</v>
      </c>
      <c r="W9" s="254">
        <f>INDEX(Problématiques_compétences!$D$3:$BA$118,MATCH(Progression_Cycle4!W$4,Problématiques_compétences!$D$3:$D$118,0),3)</f>
        <v>0</v>
      </c>
      <c r="X9" s="254">
        <f>INDEX(Problématiques_compétences!$D$3:$BA$118,MATCH(Progression_Cycle4!X$4,Problématiques_compétences!$D$3:$D$118,0),3)</f>
        <v>0</v>
      </c>
      <c r="Y9" s="254">
        <f>INDEX(Problématiques_compétences!$D$3:$BA$118,MATCH(Progression_Cycle4!Y$4,Problématiques_compétences!$D$3:$D$118,0),3)</f>
        <v>0</v>
      </c>
      <c r="Z9" s="254">
        <f>INDEX(Problématiques_compétences!$D$3:$BA$118,MATCH(Progression_Cycle4!Z$4,Problématiques_compétences!$D$3:$D$118,0),3)</f>
        <v>0</v>
      </c>
      <c r="AA9" s="254">
        <f>INDEX(Problématiques_compétences!$D$3:$BA$118,MATCH(Progression_Cycle4!AA$4,Problématiques_compétences!$D$3:$D$118,0),3)</f>
        <v>0</v>
      </c>
      <c r="AB9" s="254">
        <f>INDEX(Problématiques_compétences!$D$3:$BA$118,MATCH(Progression_Cycle4!AB$4,Problématiques_compétences!$D$3:$D$118,0),3)</f>
        <v>0</v>
      </c>
      <c r="AC9" s="254">
        <f>INDEX(Problématiques_compétences!$D$3:$BA$118,MATCH(Progression_Cycle4!AC$4,Problématiques_compétences!$D$3:$D$118,0),3)</f>
        <v>0</v>
      </c>
      <c r="AD9" s="254">
        <f>INDEX(Problématiques_compétences!$D$3:$BA$118,MATCH(Progression_Cycle4!AD$4,Problématiques_compétences!$D$3:$D$118,0),3)</f>
        <v>0</v>
      </c>
      <c r="AE9" s="254">
        <f>INDEX(Problématiques_compétences!$D$3:$BA$118,MATCH(Progression_Cycle4!AE$4,Problématiques_compétences!$D$3:$D$118,0),3)</f>
        <v>0</v>
      </c>
      <c r="AF9" s="254">
        <f>INDEX(Problématiques_compétences!$D$3:$BA$118,MATCH(Progression_Cycle4!AF$4,Problématiques_compétences!$D$3:$D$118,0),3)</f>
        <v>0</v>
      </c>
      <c r="AG9" s="254">
        <f>INDEX(Problématiques_compétences!$D$3:$BA$118,MATCH(Progression_Cycle4!AG$4,Problématiques_compétences!$D$3:$D$118,0),3)</f>
        <v>0</v>
      </c>
      <c r="AH9" s="254">
        <f>INDEX(Problématiques_compétences!$D$3:$BA$118,MATCH(Progression_Cycle4!AH$4,Problématiques_compétences!$D$3:$D$118,0),3)</f>
        <v>0</v>
      </c>
      <c r="AI9" s="254">
        <f>INDEX(Problématiques_compétences!$D$3:$BA$118,MATCH(Progression_Cycle4!AI$4,Problématiques_compétences!$D$3:$D$118,0),3)</f>
        <v>0</v>
      </c>
      <c r="AJ9" s="254">
        <f>INDEX(Problématiques_compétences!$D$3:$BA$118,MATCH(Progression_Cycle4!AJ$4,Problématiques_compétences!$D$3:$D$118,0),3)</f>
        <v>0</v>
      </c>
      <c r="AK9" s="254">
        <f>INDEX(Problématiques_compétences!$D$3:$BA$118,MATCH(Progression_Cycle4!AK$4,Problématiques_compétences!$D$3:$D$118,0),3)</f>
        <v>0</v>
      </c>
      <c r="AL9" s="254">
        <f>INDEX(Problématiques_compétences!$D$3:$BA$118,MATCH(Progression_Cycle4!AL$4,Problématiques_compétences!$D$3:$D$118,0),3)</f>
        <v>0</v>
      </c>
    </row>
    <row r="10" spans="1:39">
      <c r="A10" s="679"/>
      <c r="B10" s="219" t="s">
        <v>236</v>
      </c>
      <c r="C10" s="220" t="s">
        <v>330</v>
      </c>
      <c r="D10" s="346"/>
      <c r="E10" s="347"/>
      <c r="F10" s="342" t="s">
        <v>117</v>
      </c>
      <c r="G10" s="348"/>
      <c r="H10" s="6">
        <f>COUNTIF(I10:AL10,"x")</f>
        <v>3</v>
      </c>
      <c r="I10" s="254">
        <f>INDEX(Problématiques_compétences!$D$3:$BA$118,MATCH(Progression_Cycle4!I$4,Problématiques_compétences!$D$3:$D$118,0),4)</f>
        <v>0</v>
      </c>
      <c r="J10" s="254">
        <f>INDEX(Problématiques_compétences!$D$3:$BA$118,MATCH(Progression_Cycle4!J$4,Problématiques_compétences!$D$3:$D$118,0),4)</f>
        <v>0</v>
      </c>
      <c r="K10" s="254" t="str">
        <f>INDEX(Problématiques_compétences!$D$3:$BA$118,MATCH(Progression_Cycle4!K$4,Problématiques_compétences!$D$3:$D$118,0),4)</f>
        <v>x</v>
      </c>
      <c r="L10" s="254">
        <f>INDEX(Problématiques_compétences!$D$3:$BA$118,MATCH(Progression_Cycle4!L$4,Problématiques_compétences!$D$3:$D$118,0),4)</f>
        <v>0</v>
      </c>
      <c r="M10" s="254">
        <f>INDEX(Problématiques_compétences!$D$3:$BA$118,MATCH(Progression_Cycle4!M$4,Problématiques_compétences!$D$3:$D$118,0),4)</f>
        <v>0</v>
      </c>
      <c r="N10" s="254">
        <f>INDEX(Problématiques_compétences!$D$3:$BA$118,MATCH(Progression_Cycle4!N$4,Problématiques_compétences!$D$3:$D$118,0),4)</f>
        <v>0</v>
      </c>
      <c r="O10" s="254">
        <f>INDEX(Problématiques_compétences!$D$3:$BA$118,MATCH(Progression_Cycle4!O$4,Problématiques_compétences!$D$3:$D$118,0),4)</f>
        <v>0</v>
      </c>
      <c r="P10" s="254">
        <f>INDEX(Problématiques_compétences!$D$3:$BA$118,MATCH(Progression_Cycle4!P$4,Problématiques_compétences!$D$3:$D$118,0),4)</f>
        <v>0</v>
      </c>
      <c r="Q10" s="254">
        <f>INDEX(Problématiques_compétences!$D$3:$BA$118,MATCH(Progression_Cycle4!Q$4,Problématiques_compétences!$D$3:$D$118,0),4)</f>
        <v>0</v>
      </c>
      <c r="R10" s="254">
        <f>INDEX(Problématiques_compétences!$D$3:$BA$118,MATCH(Progression_Cycle4!R$4,Problématiques_compétences!$D$3:$D$118,0),4)</f>
        <v>0</v>
      </c>
      <c r="S10" s="254">
        <f>INDEX(Problématiques_compétences!$D$3:$BA$118,MATCH(Progression_Cycle4!S$4,Problématiques_compétences!$D$3:$D$118,0),4)</f>
        <v>0</v>
      </c>
      <c r="T10" s="254" t="str">
        <f>INDEX(Problématiques_compétences!$D$3:$BA$118,MATCH(Progression_Cycle4!T$4,Problématiques_compétences!$D$3:$D$118,0),4)</f>
        <v>x</v>
      </c>
      <c r="U10" s="254">
        <f>INDEX(Problématiques_compétences!$D$3:$BA$118,MATCH(Progression_Cycle4!U$4,Problématiques_compétences!$D$3:$D$118,0),4)</f>
        <v>0</v>
      </c>
      <c r="V10" s="254" t="str">
        <f>INDEX(Problématiques_compétences!$D$3:$BA$118,MATCH(Progression_Cycle4!V$4,Problématiques_compétences!$D$3:$D$118,0),4)</f>
        <v>x</v>
      </c>
      <c r="W10" s="254">
        <f>INDEX(Problématiques_compétences!$D$3:$BA$118,MATCH(Progression_Cycle4!W$4,Problématiques_compétences!$D$3:$D$118,0),4)</f>
        <v>0</v>
      </c>
      <c r="X10" s="254">
        <f>INDEX(Problématiques_compétences!$D$3:$BA$118,MATCH(Progression_Cycle4!X$4,Problématiques_compétences!$D$3:$D$118,0),4)</f>
        <v>0</v>
      </c>
      <c r="Y10" s="254">
        <f>INDEX(Problématiques_compétences!$D$3:$BA$118,MATCH(Progression_Cycle4!Y$4,Problématiques_compétences!$D$3:$D$118,0),4)</f>
        <v>0</v>
      </c>
      <c r="Z10" s="254">
        <f>INDEX(Problématiques_compétences!$D$3:$BA$118,MATCH(Progression_Cycle4!Z$4,Problématiques_compétences!$D$3:$D$118,0),4)</f>
        <v>0</v>
      </c>
      <c r="AA10" s="254">
        <f>INDEX(Problématiques_compétences!$D$3:$BA$118,MATCH(Progression_Cycle4!AA$4,Problématiques_compétences!$D$3:$D$118,0),4)</f>
        <v>0</v>
      </c>
      <c r="AB10" s="254">
        <f>INDEX(Problématiques_compétences!$D$3:$BA$118,MATCH(Progression_Cycle4!AB$4,Problématiques_compétences!$D$3:$D$118,0),4)</f>
        <v>0</v>
      </c>
      <c r="AC10" s="254">
        <f>INDEX(Problématiques_compétences!$D$3:$BA$118,MATCH(Progression_Cycle4!AC$4,Problématiques_compétences!$D$3:$D$118,0),4)</f>
        <v>0</v>
      </c>
      <c r="AD10" s="254">
        <f>INDEX(Problématiques_compétences!$D$3:$BA$118,MATCH(Progression_Cycle4!AD$4,Problématiques_compétences!$D$3:$D$118,0),4)</f>
        <v>0</v>
      </c>
      <c r="AE10" s="254">
        <f>INDEX(Problématiques_compétences!$D$3:$BA$118,MATCH(Progression_Cycle4!AE$4,Problématiques_compétences!$D$3:$D$118,0),4)</f>
        <v>0</v>
      </c>
      <c r="AF10" s="254">
        <f>INDEX(Problématiques_compétences!$D$3:$BA$118,MATCH(Progression_Cycle4!AF$4,Problématiques_compétences!$D$3:$D$118,0),4)</f>
        <v>0</v>
      </c>
      <c r="AG10" s="254">
        <f>INDEX(Problématiques_compétences!$D$3:$BA$118,MATCH(Progression_Cycle4!AG$4,Problématiques_compétences!$D$3:$D$118,0),4)</f>
        <v>0</v>
      </c>
      <c r="AH10" s="254">
        <f>INDEX(Problématiques_compétences!$D$3:$BA$118,MATCH(Progression_Cycle4!AH$4,Problématiques_compétences!$D$3:$D$118,0),4)</f>
        <v>0</v>
      </c>
      <c r="AI10" s="254">
        <f>INDEX(Problématiques_compétences!$D$3:$BA$118,MATCH(Progression_Cycle4!AI$4,Problématiques_compétences!$D$3:$D$118,0),4)</f>
        <v>0</v>
      </c>
      <c r="AJ10" s="254">
        <f>INDEX(Problématiques_compétences!$D$3:$BA$118,MATCH(Progression_Cycle4!AJ$4,Problématiques_compétences!$D$3:$D$118,0),4)</f>
        <v>0</v>
      </c>
      <c r="AK10" s="254">
        <f>INDEX(Problématiques_compétences!$D$3:$BA$118,MATCH(Progression_Cycle4!AK$4,Problématiques_compétences!$D$3:$D$118,0),4)</f>
        <v>0</v>
      </c>
      <c r="AL10" s="254">
        <f>INDEX(Problématiques_compétences!$D$3:$BA$118,MATCH(Progression_Cycle4!AL$4,Problématiques_compétences!$D$3:$D$118,0),4)</f>
        <v>0</v>
      </c>
    </row>
    <row r="11" spans="1:39" ht="30">
      <c r="A11" s="679"/>
      <c r="B11" s="217" t="s">
        <v>234</v>
      </c>
      <c r="C11" s="218" t="s">
        <v>280</v>
      </c>
      <c r="D11" s="349" t="s">
        <v>203</v>
      </c>
      <c r="E11" s="347"/>
      <c r="F11" s="347"/>
      <c r="G11" s="348"/>
      <c r="H11" s="6">
        <f>COUNTIF(I11:AL11,"x")</f>
        <v>2</v>
      </c>
      <c r="I11" s="254">
        <f>INDEX(Problématiques_compétences!$D$3:$BA$118,MATCH(Progression_Cycle4!I$4,Problématiques_compétences!$D$3:$D$118,0),5)</f>
        <v>0</v>
      </c>
      <c r="J11" s="254" t="str">
        <f>INDEX(Problématiques_compétences!$D$3:$BA$118,MATCH(Progression_Cycle4!J$4,Problématiques_compétences!$D$3:$D$118,0),5)</f>
        <v>x</v>
      </c>
      <c r="K11" s="254">
        <f>INDEX(Problématiques_compétences!$D$3:$BA$118,MATCH(Progression_Cycle4!K$4,Problématiques_compétences!$D$3:$D$118,0),5)</f>
        <v>0</v>
      </c>
      <c r="L11" s="254">
        <f>INDEX(Problématiques_compétences!$D$3:$BA$118,MATCH(Progression_Cycle4!L$4,Problématiques_compétences!$D$3:$D$118,0),5)</f>
        <v>0</v>
      </c>
      <c r="M11" s="254">
        <f>INDEX(Problématiques_compétences!$D$3:$BA$118,MATCH(Progression_Cycle4!M$4,Problématiques_compétences!$D$3:$D$118,0),5)</f>
        <v>0</v>
      </c>
      <c r="N11" s="254">
        <f>INDEX(Problématiques_compétences!$D$3:$BA$118,MATCH(Progression_Cycle4!N$4,Problématiques_compétences!$D$3:$D$118,0),5)</f>
        <v>0</v>
      </c>
      <c r="O11" s="254">
        <f>INDEX(Problématiques_compétences!$D$3:$BA$118,MATCH(Progression_Cycle4!O$4,Problématiques_compétences!$D$3:$D$118,0),5)</f>
        <v>0</v>
      </c>
      <c r="P11" s="254">
        <f>INDEX(Problématiques_compétences!$D$3:$BA$118,MATCH(Progression_Cycle4!P$4,Problématiques_compétences!$D$3:$D$118,0),5)</f>
        <v>0</v>
      </c>
      <c r="Q11" s="254">
        <f>INDEX(Problématiques_compétences!$D$3:$BA$118,MATCH(Progression_Cycle4!Q$4,Problématiques_compétences!$D$3:$D$118,0),5)</f>
        <v>0</v>
      </c>
      <c r="R11" s="254">
        <f>INDEX(Problématiques_compétences!$D$3:$BA$118,MATCH(Progression_Cycle4!R$4,Problématiques_compétences!$D$3:$D$118,0),5)</f>
        <v>0</v>
      </c>
      <c r="S11" s="254">
        <f>INDEX(Problématiques_compétences!$D$3:$BA$118,MATCH(Progression_Cycle4!S$4,Problématiques_compétences!$D$3:$D$118,0),5)</f>
        <v>0</v>
      </c>
      <c r="T11" s="254">
        <f>INDEX(Problématiques_compétences!$D$3:$BA$118,MATCH(Progression_Cycle4!T$4,Problématiques_compétences!$D$3:$D$118,0),5)</f>
        <v>0</v>
      </c>
      <c r="U11" s="254">
        <f>INDEX(Problématiques_compétences!$D$3:$BA$118,MATCH(Progression_Cycle4!U$4,Problématiques_compétences!$D$3:$D$118,0),5)</f>
        <v>0</v>
      </c>
      <c r="V11" s="254" t="str">
        <f>INDEX(Problématiques_compétences!$D$3:$BA$118,MATCH(Progression_Cycle4!V$4,Problématiques_compétences!$D$3:$D$118,0),5)</f>
        <v>x</v>
      </c>
      <c r="W11" s="254">
        <f>INDEX(Problématiques_compétences!$D$3:$BA$118,MATCH(Progression_Cycle4!W$4,Problématiques_compétences!$D$3:$D$118,0),5)</f>
        <v>0</v>
      </c>
      <c r="X11" s="254">
        <f>INDEX(Problématiques_compétences!$D$3:$BA$118,MATCH(Progression_Cycle4!X$4,Problématiques_compétences!$D$3:$D$118,0),5)</f>
        <v>0</v>
      </c>
      <c r="Y11" s="254">
        <f>INDEX(Problématiques_compétences!$D$3:$BA$118,MATCH(Progression_Cycle4!Y$4,Problématiques_compétences!$D$3:$D$118,0),5)</f>
        <v>0</v>
      </c>
      <c r="Z11" s="254">
        <f>INDEX(Problématiques_compétences!$D$3:$BA$118,MATCH(Progression_Cycle4!Z$4,Problématiques_compétences!$D$3:$D$118,0),5)</f>
        <v>0</v>
      </c>
      <c r="AA11" s="254">
        <f>INDEX(Problématiques_compétences!$D$3:$BA$118,MATCH(Progression_Cycle4!AA$4,Problématiques_compétences!$D$3:$D$118,0),5)</f>
        <v>0</v>
      </c>
      <c r="AB11" s="254">
        <f>INDEX(Problématiques_compétences!$D$3:$BA$118,MATCH(Progression_Cycle4!AB$4,Problématiques_compétences!$D$3:$D$118,0),5)</f>
        <v>0</v>
      </c>
      <c r="AC11" s="254">
        <f>INDEX(Problématiques_compétences!$D$3:$BA$118,MATCH(Progression_Cycle4!AC$4,Problématiques_compétences!$D$3:$D$118,0),5)</f>
        <v>0</v>
      </c>
      <c r="AD11" s="254">
        <f>INDEX(Problématiques_compétences!$D$3:$BA$118,MATCH(Progression_Cycle4!AD$4,Problématiques_compétences!$D$3:$D$118,0),5)</f>
        <v>0</v>
      </c>
      <c r="AE11" s="254">
        <f>INDEX(Problématiques_compétences!$D$3:$BA$118,MATCH(Progression_Cycle4!AE$4,Problématiques_compétences!$D$3:$D$118,0),5)</f>
        <v>0</v>
      </c>
      <c r="AF11" s="254">
        <f>INDEX(Problématiques_compétences!$D$3:$BA$118,MATCH(Progression_Cycle4!AF$4,Problématiques_compétences!$D$3:$D$118,0),5)</f>
        <v>0</v>
      </c>
      <c r="AG11" s="254">
        <f>INDEX(Problématiques_compétences!$D$3:$BA$118,MATCH(Progression_Cycle4!AG$4,Problématiques_compétences!$D$3:$D$118,0),5)</f>
        <v>0</v>
      </c>
      <c r="AH11" s="254">
        <f>INDEX(Problématiques_compétences!$D$3:$BA$118,MATCH(Progression_Cycle4!AH$4,Problématiques_compétences!$D$3:$D$118,0),5)</f>
        <v>0</v>
      </c>
      <c r="AI11" s="254">
        <f>INDEX(Problématiques_compétences!$D$3:$BA$118,MATCH(Progression_Cycle4!AI$4,Problématiques_compétences!$D$3:$D$118,0),5)</f>
        <v>0</v>
      </c>
      <c r="AJ11" s="254">
        <f>INDEX(Problématiques_compétences!$D$3:$BA$118,MATCH(Progression_Cycle4!AJ$4,Problématiques_compétences!$D$3:$D$118,0),5)</f>
        <v>0</v>
      </c>
      <c r="AK11" s="254">
        <f>INDEX(Problématiques_compétences!$D$3:$BA$118,MATCH(Progression_Cycle4!AK$4,Problématiques_compétences!$D$3:$D$118,0),5)</f>
        <v>0</v>
      </c>
      <c r="AL11" s="254">
        <f>INDEX(Problématiques_compétences!$D$3:$BA$118,MATCH(Progression_Cycle4!AL$4,Problématiques_compétences!$D$3:$D$118,0),5)</f>
        <v>0</v>
      </c>
    </row>
    <row r="12" spans="1:39" ht="15.75" thickBot="1">
      <c r="A12" s="680"/>
      <c r="B12" s="221" t="s">
        <v>233</v>
      </c>
      <c r="C12" s="232" t="s">
        <v>282</v>
      </c>
      <c r="D12" s="44" t="s">
        <v>217</v>
      </c>
      <c r="E12" s="347"/>
      <c r="F12" s="347"/>
      <c r="G12" s="348"/>
      <c r="H12" s="6">
        <f>COUNTIF(I12:AL12,"x")</f>
        <v>5</v>
      </c>
      <c r="I12" s="254">
        <f>INDEX(Problématiques_compétences!$D$3:$BA$118,MATCH(Progression_Cycle4!I$4,Problématiques_compétences!$D$3:$D$118,0),6)</f>
        <v>0</v>
      </c>
      <c r="J12" s="254">
        <f>INDEX(Problématiques_compétences!$D$3:$BA$118,MATCH(Progression_Cycle4!J$4,Problématiques_compétences!$D$3:$D$118,0),6)</f>
        <v>0</v>
      </c>
      <c r="K12" s="254">
        <f>INDEX(Problématiques_compétences!$D$3:$BA$118,MATCH(Progression_Cycle4!K$4,Problématiques_compétences!$D$3:$D$118,0),6)</f>
        <v>0</v>
      </c>
      <c r="L12" s="254">
        <f>INDEX(Problématiques_compétences!$D$3:$BA$118,MATCH(Progression_Cycle4!L$4,Problématiques_compétences!$D$3:$D$118,0),6)</f>
        <v>0</v>
      </c>
      <c r="M12" s="254">
        <f>INDEX(Problématiques_compétences!$D$3:$BA$118,MATCH(Progression_Cycle4!M$4,Problématiques_compétences!$D$3:$D$118,0),6)</f>
        <v>0</v>
      </c>
      <c r="N12" s="254">
        <f>INDEX(Problématiques_compétences!$D$3:$BA$118,MATCH(Progression_Cycle4!N$4,Problématiques_compétences!$D$3:$D$118,0),6)</f>
        <v>0</v>
      </c>
      <c r="O12" s="254" t="str">
        <f>INDEX(Problématiques_compétences!$D$3:$BA$118,MATCH(Progression_Cycle4!O$4,Problématiques_compétences!$D$3:$D$118,0),6)</f>
        <v>x</v>
      </c>
      <c r="P12" s="254">
        <f>INDEX(Problématiques_compétences!$D$3:$BA$118,MATCH(Progression_Cycle4!P$4,Problématiques_compétences!$D$3:$D$118,0),6)</f>
        <v>0</v>
      </c>
      <c r="Q12" s="254">
        <f>INDEX(Problématiques_compétences!$D$3:$BA$118,MATCH(Progression_Cycle4!Q$4,Problématiques_compétences!$D$3:$D$118,0),6)</f>
        <v>0</v>
      </c>
      <c r="R12" s="254">
        <f>INDEX(Problématiques_compétences!$D$3:$BA$118,MATCH(Progression_Cycle4!R$4,Problématiques_compétences!$D$3:$D$118,0),6)</f>
        <v>0</v>
      </c>
      <c r="S12" s="254">
        <f>INDEX(Problématiques_compétences!$D$3:$BA$118,MATCH(Progression_Cycle4!S$4,Problématiques_compétences!$D$3:$D$118,0),6)</f>
        <v>0</v>
      </c>
      <c r="T12" s="254">
        <f>INDEX(Problématiques_compétences!$D$3:$BA$118,MATCH(Progression_Cycle4!T$4,Problématiques_compétences!$D$3:$D$118,0),6)</f>
        <v>0</v>
      </c>
      <c r="U12" s="254">
        <f>INDEX(Problématiques_compétences!$D$3:$BA$118,MATCH(Progression_Cycle4!U$4,Problématiques_compétences!$D$3:$D$118,0),6)</f>
        <v>0</v>
      </c>
      <c r="V12" s="254" t="str">
        <f>INDEX(Problématiques_compétences!$D$3:$BA$118,MATCH(Progression_Cycle4!V$4,Problématiques_compétences!$D$3:$D$118,0),6)</f>
        <v>x</v>
      </c>
      <c r="W12" s="254">
        <f>INDEX(Problématiques_compétences!$D$3:$BA$118,MATCH(Progression_Cycle4!W$4,Problématiques_compétences!$D$3:$D$118,0),6)</f>
        <v>0</v>
      </c>
      <c r="X12" s="254">
        <f>INDEX(Problématiques_compétences!$D$3:$BA$118,MATCH(Progression_Cycle4!X$4,Problématiques_compétences!$D$3:$D$118,0),6)</f>
        <v>0</v>
      </c>
      <c r="Y12" s="254" t="str">
        <f>INDEX(Problématiques_compétences!$D$3:$BA$118,MATCH(Progression_Cycle4!Y$4,Problématiques_compétences!$D$3:$D$118,0),6)</f>
        <v>x</v>
      </c>
      <c r="Z12" s="254">
        <f>INDEX(Problématiques_compétences!$D$3:$BA$118,MATCH(Progression_Cycle4!Z$4,Problématiques_compétences!$D$3:$D$118,0),6)</f>
        <v>0</v>
      </c>
      <c r="AA12" s="254" t="str">
        <f>INDEX(Problématiques_compétences!$D$3:$BA$118,MATCH(Progression_Cycle4!AA$4,Problématiques_compétences!$D$3:$D$118,0),6)</f>
        <v>x</v>
      </c>
      <c r="AB12" s="254" t="str">
        <f>INDEX(Problématiques_compétences!$D$3:$BA$118,MATCH(Progression_Cycle4!AB$4,Problématiques_compétences!$D$3:$D$118,0),6)</f>
        <v>x</v>
      </c>
      <c r="AC12" s="254">
        <f>INDEX(Problématiques_compétences!$D$3:$BA$118,MATCH(Progression_Cycle4!AC$4,Problématiques_compétences!$D$3:$D$118,0),6)</f>
        <v>0</v>
      </c>
      <c r="AD12" s="254">
        <f>INDEX(Problématiques_compétences!$D$3:$BA$118,MATCH(Progression_Cycle4!AD$4,Problématiques_compétences!$D$3:$D$118,0),6)</f>
        <v>0</v>
      </c>
      <c r="AE12" s="254">
        <f>INDEX(Problématiques_compétences!$D$3:$BA$118,MATCH(Progression_Cycle4!AE$4,Problématiques_compétences!$D$3:$D$118,0),6)</f>
        <v>0</v>
      </c>
      <c r="AF12" s="254">
        <f>INDEX(Problématiques_compétences!$D$3:$BA$118,MATCH(Progression_Cycle4!AF$4,Problématiques_compétences!$D$3:$D$118,0),6)</f>
        <v>0</v>
      </c>
      <c r="AG12" s="254">
        <f>INDEX(Problématiques_compétences!$D$3:$BA$118,MATCH(Progression_Cycle4!AG$4,Problématiques_compétences!$D$3:$D$118,0),6)</f>
        <v>0</v>
      </c>
      <c r="AH12" s="254">
        <f>INDEX(Problématiques_compétences!$D$3:$BA$118,MATCH(Progression_Cycle4!AH$4,Problématiques_compétences!$D$3:$D$118,0),6)</f>
        <v>0</v>
      </c>
      <c r="AI12" s="254">
        <f>INDEX(Problématiques_compétences!$D$3:$BA$118,MATCH(Progression_Cycle4!AI$4,Problématiques_compétences!$D$3:$D$118,0),6)</f>
        <v>0</v>
      </c>
      <c r="AJ12" s="254">
        <f>INDEX(Problématiques_compétences!$D$3:$BA$118,MATCH(Progression_Cycle4!AJ$4,Problématiques_compétences!$D$3:$D$118,0),6)</f>
        <v>0</v>
      </c>
      <c r="AK12" s="254">
        <f>INDEX(Problématiques_compétences!$D$3:$BA$118,MATCH(Progression_Cycle4!AK$4,Problématiques_compétences!$D$3:$D$118,0),6)</f>
        <v>0</v>
      </c>
      <c r="AL12" s="254">
        <f>INDEX(Problématiques_compétences!$D$3:$BA$118,MATCH(Progression_Cycle4!AL$4,Problématiques_compétences!$D$3:$D$118,0),6)</f>
        <v>0</v>
      </c>
    </row>
    <row r="13" spans="1:39">
      <c r="A13" s="678" t="s">
        <v>230</v>
      </c>
      <c r="B13" s="215">
        <v>2</v>
      </c>
      <c r="C13" s="216" t="s">
        <v>45</v>
      </c>
      <c r="D13" s="827"/>
      <c r="E13" s="828"/>
      <c r="F13" s="828"/>
      <c r="G13" s="828"/>
      <c r="H13" s="828"/>
      <c r="I13" s="828"/>
      <c r="J13" s="828"/>
      <c r="K13" s="828"/>
      <c r="L13" s="828"/>
      <c r="M13" s="828"/>
      <c r="N13" s="828"/>
      <c r="O13" s="828"/>
      <c r="P13" s="828"/>
      <c r="Q13" s="828"/>
      <c r="R13" s="828"/>
      <c r="S13" s="828"/>
      <c r="T13" s="828"/>
      <c r="U13" s="828"/>
      <c r="V13" s="828"/>
      <c r="W13" s="828"/>
      <c r="X13" s="828"/>
      <c r="Y13" s="828"/>
      <c r="Z13" s="828"/>
      <c r="AA13" s="828"/>
      <c r="AB13" s="828"/>
      <c r="AC13" s="828"/>
      <c r="AD13" s="828"/>
      <c r="AE13" s="828"/>
      <c r="AF13" s="828"/>
      <c r="AG13" s="828"/>
      <c r="AH13" s="828"/>
      <c r="AI13" s="828"/>
      <c r="AJ13" s="828"/>
      <c r="AK13" s="828"/>
      <c r="AL13" s="829"/>
    </row>
    <row r="14" spans="1:39" ht="45">
      <c r="A14" s="679"/>
      <c r="B14" s="217" t="s">
        <v>227</v>
      </c>
      <c r="C14" s="223" t="s">
        <v>281</v>
      </c>
      <c r="D14" s="355" t="s">
        <v>226</v>
      </c>
      <c r="E14" s="347"/>
      <c r="F14" s="347"/>
      <c r="G14" s="348"/>
      <c r="H14" s="6">
        <f>COUNTIF(I14:AL14,"x")</f>
        <v>4</v>
      </c>
      <c r="I14" s="254">
        <f>INDEX(Problématiques_compétences!$D$3:$BA$118,MATCH(Progression_Cycle4!I$4,Problématiques_compétences!$D$3:$D$118,0),11)</f>
        <v>0</v>
      </c>
      <c r="J14" s="254" t="str">
        <f>INDEX(Problématiques_compétences!$D$3:$BA$118,MATCH(Progression_Cycle4!J$4,Problématiques_compétences!$D$3:$D$118,0),11)</f>
        <v>x</v>
      </c>
      <c r="K14" s="254">
        <f>INDEX(Problématiques_compétences!$D$3:$BA$118,MATCH(Progression_Cycle4!K$4,Problématiques_compétences!$D$3:$D$118,0),11)</f>
        <v>0</v>
      </c>
      <c r="L14" s="254" t="str">
        <f>INDEX(Problématiques_compétences!$D$3:$BA$118,MATCH(Progression_Cycle4!L$4,Problématiques_compétences!$D$3:$D$118,0),11)</f>
        <v>x</v>
      </c>
      <c r="M14" s="254">
        <f>INDEX(Problématiques_compétences!$D$3:$BA$118,MATCH(Progression_Cycle4!M$4,Problématiques_compétences!$D$3:$D$118,0),11)</f>
        <v>0</v>
      </c>
      <c r="N14" s="254" t="str">
        <f>INDEX(Problématiques_compétences!$D$3:$BA$118,MATCH(Progression_Cycle4!N$4,Problématiques_compétences!$D$3:$D$118,0),11)</f>
        <v>x</v>
      </c>
      <c r="O14" s="254">
        <f>INDEX(Problématiques_compétences!$D$3:$BA$118,MATCH(Progression_Cycle4!O$4,Problématiques_compétences!$D$3:$D$118,0),11)</f>
        <v>0</v>
      </c>
      <c r="P14" s="254">
        <f>INDEX(Problématiques_compétences!$D$3:$BA$118,MATCH(Progression_Cycle4!P$4,Problématiques_compétences!$D$3:$D$118,0),11)</f>
        <v>0</v>
      </c>
      <c r="Q14" s="254">
        <f>INDEX(Problématiques_compétences!$D$3:$BA$118,MATCH(Progression_Cycle4!Q$4,Problématiques_compétences!$D$3:$D$118,0),11)</f>
        <v>0</v>
      </c>
      <c r="R14" s="254">
        <f>INDEX(Problématiques_compétences!$D$3:$BA$118,MATCH(Progression_Cycle4!R$4,Problématiques_compétences!$D$3:$D$118,0),11)</f>
        <v>0</v>
      </c>
      <c r="S14" s="254">
        <f>INDEX(Problématiques_compétences!$D$3:$BA$118,MATCH(Progression_Cycle4!S$4,Problématiques_compétences!$D$3:$D$118,0),11)</f>
        <v>0</v>
      </c>
      <c r="T14" s="254">
        <f>INDEX(Problématiques_compétences!$D$3:$BA$118,MATCH(Progression_Cycle4!T$4,Problématiques_compétences!$D$3:$D$118,0),11)</f>
        <v>0</v>
      </c>
      <c r="U14" s="254" t="str">
        <f>INDEX(Problématiques_compétences!$D$3:$BA$118,MATCH(Progression_Cycle4!U$4,Problématiques_compétences!$D$3:$D$118,0),11)</f>
        <v>x</v>
      </c>
      <c r="V14" s="254">
        <f>INDEX(Problématiques_compétences!$D$3:$BA$118,MATCH(Progression_Cycle4!V$4,Problématiques_compétences!$D$3:$D$118,0),11)</f>
        <v>0</v>
      </c>
      <c r="W14" s="254">
        <f>INDEX(Problématiques_compétences!$D$3:$BA$118,MATCH(Progression_Cycle4!W$4,Problématiques_compétences!$D$3:$D$118,0),11)</f>
        <v>0</v>
      </c>
      <c r="X14" s="254">
        <f>INDEX(Problématiques_compétences!$D$3:$BA$118,MATCH(Progression_Cycle4!X$4,Problématiques_compétences!$D$3:$D$118,0),11)</f>
        <v>0</v>
      </c>
      <c r="Y14" s="254">
        <f>INDEX(Problématiques_compétences!$D$3:$BA$118,MATCH(Progression_Cycle4!Y$4,Problématiques_compétences!$D$3:$D$118,0),11)</f>
        <v>0</v>
      </c>
      <c r="Z14" s="254">
        <f>INDEX(Problématiques_compétences!$D$3:$BA$118,MATCH(Progression_Cycle4!Z$4,Problématiques_compétences!$D$3:$D$118,0),11)</f>
        <v>0</v>
      </c>
      <c r="AA14" s="254">
        <f>INDEX(Problématiques_compétences!$D$3:$BA$118,MATCH(Progression_Cycle4!AA$4,Problématiques_compétences!$D$3:$D$118,0),11)</f>
        <v>0</v>
      </c>
      <c r="AB14" s="254">
        <f>INDEX(Problématiques_compétences!$D$3:$BA$118,MATCH(Progression_Cycle4!AB$4,Problématiques_compétences!$D$3:$D$118,0),11)</f>
        <v>0</v>
      </c>
      <c r="AC14" s="254">
        <f>INDEX(Problématiques_compétences!$D$3:$BA$118,MATCH(Progression_Cycle4!AC$4,Problématiques_compétences!$D$3:$D$118,0),11)</f>
        <v>0</v>
      </c>
      <c r="AD14" s="254">
        <f>INDEX(Problématiques_compétences!$D$3:$BA$118,MATCH(Progression_Cycle4!AD$4,Problématiques_compétences!$D$3:$D$118,0),11)</f>
        <v>0</v>
      </c>
      <c r="AE14" s="254">
        <f>INDEX(Problématiques_compétences!$D$3:$BA$118,MATCH(Progression_Cycle4!AE$4,Problématiques_compétences!$D$3:$D$118,0),11)</f>
        <v>0</v>
      </c>
      <c r="AF14" s="254">
        <f>INDEX(Problématiques_compétences!$D$3:$BA$118,MATCH(Progression_Cycle4!AF$4,Problématiques_compétences!$D$3:$D$118,0),11)</f>
        <v>0</v>
      </c>
      <c r="AG14" s="254">
        <f>INDEX(Problématiques_compétences!$D$3:$BA$118,MATCH(Progression_Cycle4!AG$4,Problématiques_compétences!$D$3:$D$118,0),11)</f>
        <v>0</v>
      </c>
      <c r="AH14" s="254">
        <f>INDEX(Problématiques_compétences!$D$3:$BA$118,MATCH(Progression_Cycle4!AH$4,Problématiques_compétences!$D$3:$D$118,0),11)</f>
        <v>0</v>
      </c>
      <c r="AI14" s="254">
        <f>INDEX(Problématiques_compétences!$D$3:$BA$118,MATCH(Progression_Cycle4!AI$4,Problématiques_compétences!$D$3:$D$118,0),11)</f>
        <v>0</v>
      </c>
      <c r="AJ14" s="254">
        <f>INDEX(Problématiques_compétences!$D$3:$BA$118,MATCH(Progression_Cycle4!AJ$4,Problématiques_compétences!$D$3:$D$118,0),11)</f>
        <v>0</v>
      </c>
      <c r="AK14" s="254">
        <f>INDEX(Problématiques_compétences!$D$3:$BA$118,MATCH(Progression_Cycle4!AK$4,Problématiques_compétences!$D$3:$D$118,0),11)</f>
        <v>0</v>
      </c>
      <c r="AL14" s="254">
        <f>INDEX(Problématiques_compétences!$D$3:$BA$118,MATCH(Progression_Cycle4!AL$4,Problématiques_compétences!$D$3:$D$118,0),11)</f>
        <v>0</v>
      </c>
    </row>
    <row r="15" spans="1:39" ht="45">
      <c r="A15" s="679"/>
      <c r="B15" s="219" t="s">
        <v>224</v>
      </c>
      <c r="C15" s="224" t="s">
        <v>331</v>
      </c>
      <c r="D15" s="346"/>
      <c r="E15" s="347"/>
      <c r="F15" s="342" t="s">
        <v>128</v>
      </c>
      <c r="G15" s="348"/>
      <c r="H15" s="6">
        <f t="shared" ref="H15:H20" si="0">COUNTIF(I15:AL15,"x")</f>
        <v>4</v>
      </c>
      <c r="I15" s="254">
        <f>INDEX(Problématiques_compétences!$D$3:$BA$118,MATCH(Progression_Cycle4!I$4,Problématiques_compétences!$D$3:$D$118,0),12)</f>
        <v>0</v>
      </c>
      <c r="J15" s="254">
        <f>INDEX(Problématiques_compétences!$D$3:$BA$118,MATCH(Progression_Cycle4!J$4,Problématiques_compétences!$D$3:$D$118,0),12)</f>
        <v>0</v>
      </c>
      <c r="K15" s="254">
        <f>INDEX(Problématiques_compétences!$D$3:$BA$118,MATCH(Progression_Cycle4!K$4,Problématiques_compétences!$D$3:$D$118,0),12)</f>
        <v>0</v>
      </c>
      <c r="L15" s="254">
        <f>INDEX(Problématiques_compétences!$D$3:$BA$118,MATCH(Progression_Cycle4!L$4,Problématiques_compétences!$D$3:$D$118,0),12)</f>
        <v>0</v>
      </c>
      <c r="M15" s="254">
        <f>INDEX(Problématiques_compétences!$D$3:$BA$118,MATCH(Progression_Cycle4!M$4,Problématiques_compétences!$D$3:$D$118,0),12)</f>
        <v>0</v>
      </c>
      <c r="N15" s="254">
        <f>INDEX(Problématiques_compétences!$D$3:$BA$118,MATCH(Progression_Cycle4!N$4,Problématiques_compétences!$D$3:$D$118,0),12)</f>
        <v>0</v>
      </c>
      <c r="O15" s="254">
        <f>INDEX(Problématiques_compétences!$D$3:$BA$118,MATCH(Progression_Cycle4!O$4,Problématiques_compétences!$D$3:$D$118,0),12)</f>
        <v>0</v>
      </c>
      <c r="P15" s="254">
        <f>INDEX(Problématiques_compétences!$D$3:$BA$118,MATCH(Progression_Cycle4!P$4,Problématiques_compétences!$D$3:$D$118,0),12)</f>
        <v>0</v>
      </c>
      <c r="Q15" s="254">
        <f>INDEX(Problématiques_compétences!$D$3:$BA$118,MATCH(Progression_Cycle4!Q$4,Problématiques_compétences!$D$3:$D$118,0),12)</f>
        <v>0</v>
      </c>
      <c r="R15" s="254" t="str">
        <f>INDEX(Problématiques_compétences!$D$3:$BA$118,MATCH(Progression_Cycle4!R$4,Problématiques_compétences!$D$3:$D$118,0),12)</f>
        <v>x</v>
      </c>
      <c r="S15" s="254">
        <f>INDEX(Problématiques_compétences!$D$3:$BA$118,MATCH(Progression_Cycle4!S$4,Problématiques_compétences!$D$3:$D$118,0),12)</f>
        <v>0</v>
      </c>
      <c r="T15" s="254">
        <f>INDEX(Problématiques_compétences!$D$3:$BA$118,MATCH(Progression_Cycle4!T$4,Problématiques_compétences!$D$3:$D$118,0),12)</f>
        <v>0</v>
      </c>
      <c r="U15" s="254">
        <f>INDEX(Problématiques_compétences!$D$3:$BA$118,MATCH(Progression_Cycle4!U$4,Problématiques_compétences!$D$3:$D$118,0),12)</f>
        <v>0</v>
      </c>
      <c r="V15" s="254">
        <f>INDEX(Problématiques_compétences!$D$3:$BA$118,MATCH(Progression_Cycle4!V$4,Problématiques_compétences!$D$3:$D$118,0),12)</f>
        <v>0</v>
      </c>
      <c r="W15" s="254">
        <f>INDEX(Problématiques_compétences!$D$3:$BA$118,MATCH(Progression_Cycle4!W$4,Problématiques_compétences!$D$3:$D$118,0),12)</f>
        <v>0</v>
      </c>
      <c r="X15" s="254">
        <f>INDEX(Problématiques_compétences!$D$3:$BA$118,MATCH(Progression_Cycle4!X$4,Problématiques_compétences!$D$3:$D$118,0),12)</f>
        <v>0</v>
      </c>
      <c r="Y15" s="254" t="str">
        <f>INDEX(Problématiques_compétences!$D$3:$BA$118,MATCH(Progression_Cycle4!Y$4,Problématiques_compétences!$D$3:$D$118,0),12)</f>
        <v>x</v>
      </c>
      <c r="Z15" s="254">
        <f>INDEX(Problématiques_compétences!$D$3:$BA$118,MATCH(Progression_Cycle4!Z$4,Problématiques_compétences!$D$3:$D$118,0),12)</f>
        <v>0</v>
      </c>
      <c r="AA15" s="254">
        <f>INDEX(Problématiques_compétences!$D$3:$BA$118,MATCH(Progression_Cycle4!AA$4,Problématiques_compétences!$D$3:$D$118,0),12)</f>
        <v>0</v>
      </c>
      <c r="AB15" s="254">
        <f>INDEX(Problématiques_compétences!$D$3:$BA$118,MATCH(Progression_Cycle4!AB$4,Problématiques_compétences!$D$3:$D$118,0),12)</f>
        <v>0</v>
      </c>
      <c r="AC15" s="254">
        <f>INDEX(Problématiques_compétences!$D$3:$BA$118,MATCH(Progression_Cycle4!AC$4,Problématiques_compétences!$D$3:$D$118,0),12)</f>
        <v>0</v>
      </c>
      <c r="AD15" s="254">
        <f>INDEX(Problématiques_compétences!$D$3:$BA$118,MATCH(Progression_Cycle4!AD$4,Problématiques_compétences!$D$3:$D$118,0),12)</f>
        <v>0</v>
      </c>
      <c r="AE15" s="254">
        <f>INDEX(Problématiques_compétences!$D$3:$BA$118,MATCH(Progression_Cycle4!AE$4,Problématiques_compétences!$D$3:$D$118,0),12)</f>
        <v>0</v>
      </c>
      <c r="AF15" s="254" t="str">
        <f>INDEX(Problématiques_compétences!$D$3:$BA$118,MATCH(Progression_Cycle4!AF$4,Problématiques_compétences!$D$3:$D$118,0),12)</f>
        <v>x</v>
      </c>
      <c r="AG15" s="254">
        <f>INDEX(Problématiques_compétences!$D$3:$BA$118,MATCH(Progression_Cycle4!AG$4,Problématiques_compétences!$D$3:$D$118,0),12)</f>
        <v>0</v>
      </c>
      <c r="AH15" s="254" t="str">
        <f>INDEX(Problématiques_compétences!$D$3:$BA$118,MATCH(Progression_Cycle4!AH$4,Problématiques_compétences!$D$3:$D$118,0),12)</f>
        <v>x</v>
      </c>
      <c r="AI15" s="254">
        <f>INDEX(Problématiques_compétences!$D$3:$BA$118,MATCH(Progression_Cycle4!AI$4,Problématiques_compétences!$D$3:$D$118,0),12)</f>
        <v>0</v>
      </c>
      <c r="AJ15" s="254">
        <f>INDEX(Problématiques_compétences!$D$3:$BA$118,MATCH(Progression_Cycle4!AJ$4,Problématiques_compétences!$D$3:$D$118,0),12)</f>
        <v>0</v>
      </c>
      <c r="AK15" s="254">
        <f>INDEX(Problématiques_compétences!$D$3:$BA$118,MATCH(Progression_Cycle4!AK$4,Problématiques_compétences!$D$3:$D$118,0),12)</f>
        <v>0</v>
      </c>
      <c r="AL15" s="254">
        <f>INDEX(Problématiques_compétences!$D$3:$BA$118,MATCH(Progression_Cycle4!AL$4,Problématiques_compétences!$D$3:$D$118,0),12)</f>
        <v>0</v>
      </c>
    </row>
    <row r="16" spans="1:39">
      <c r="A16" s="679"/>
      <c r="B16" s="217" t="s">
        <v>221</v>
      </c>
      <c r="C16" s="223" t="s">
        <v>332</v>
      </c>
      <c r="D16" s="349" t="s">
        <v>220</v>
      </c>
      <c r="E16" s="347"/>
      <c r="F16" s="347"/>
      <c r="G16" s="348"/>
      <c r="H16" s="6">
        <f t="shared" si="0"/>
        <v>5</v>
      </c>
      <c r="I16" s="254">
        <f>INDEX(Problématiques_compétences!$D$3:$BA$118,MATCH(Progression_Cycle4!I$4,Problématiques_compétences!$D$3:$D$118,0),13)</f>
        <v>0</v>
      </c>
      <c r="J16" s="254">
        <f>INDEX(Problématiques_compétences!$D$3:$BA$118,MATCH(Progression_Cycle4!J$4,Problématiques_compétences!$D$3:$D$118,0),13)</f>
        <v>0</v>
      </c>
      <c r="K16" s="254">
        <f>INDEX(Problématiques_compétences!$D$3:$BA$118,MATCH(Progression_Cycle4!K$4,Problématiques_compétences!$D$3:$D$118,0),13)</f>
        <v>0</v>
      </c>
      <c r="L16" s="254">
        <f>INDEX(Problématiques_compétences!$D$3:$BA$118,MATCH(Progression_Cycle4!L$4,Problématiques_compétences!$D$3:$D$118,0),13)</f>
        <v>0</v>
      </c>
      <c r="M16" s="254">
        <f>INDEX(Problématiques_compétences!$D$3:$BA$118,MATCH(Progression_Cycle4!M$4,Problématiques_compétences!$D$3:$D$118,0),13)</f>
        <v>0</v>
      </c>
      <c r="N16" s="254" t="str">
        <f>INDEX(Problématiques_compétences!$D$3:$BA$118,MATCH(Progression_Cycle4!N$4,Problématiques_compétences!$D$3:$D$118,0),13)</f>
        <v>x</v>
      </c>
      <c r="O16" s="254">
        <f>INDEX(Problématiques_compétences!$D$3:$BA$118,MATCH(Progression_Cycle4!O$4,Problématiques_compétences!$D$3:$D$118,0),13)</f>
        <v>0</v>
      </c>
      <c r="P16" s="254">
        <f>INDEX(Problématiques_compétences!$D$3:$BA$118,MATCH(Progression_Cycle4!P$4,Problématiques_compétences!$D$3:$D$118,0),13)</f>
        <v>0</v>
      </c>
      <c r="Q16" s="254" t="str">
        <f>INDEX(Problématiques_compétences!$D$3:$BA$118,MATCH(Progression_Cycle4!Q$4,Problématiques_compétences!$D$3:$D$118,0),13)</f>
        <v>x</v>
      </c>
      <c r="R16" s="254">
        <f>INDEX(Problématiques_compétences!$D$3:$BA$118,MATCH(Progression_Cycle4!R$4,Problématiques_compétences!$D$3:$D$118,0),13)</f>
        <v>0</v>
      </c>
      <c r="S16" s="254">
        <f>INDEX(Problématiques_compétences!$D$3:$BA$118,MATCH(Progression_Cycle4!S$4,Problématiques_compétences!$D$3:$D$118,0),13)</f>
        <v>0</v>
      </c>
      <c r="T16" s="254">
        <f>INDEX(Problématiques_compétences!$D$3:$BA$118,MATCH(Progression_Cycle4!T$4,Problématiques_compétences!$D$3:$D$118,0),13)</f>
        <v>0</v>
      </c>
      <c r="U16" s="254" t="str">
        <f>INDEX(Problématiques_compétences!$D$3:$BA$118,MATCH(Progression_Cycle4!U$4,Problématiques_compétences!$D$3:$D$118,0),13)</f>
        <v>x</v>
      </c>
      <c r="V16" s="254">
        <f>INDEX(Problématiques_compétences!$D$3:$BA$118,MATCH(Progression_Cycle4!V$4,Problématiques_compétences!$D$3:$D$118,0),13)</f>
        <v>0</v>
      </c>
      <c r="W16" s="254">
        <f>INDEX(Problématiques_compétences!$D$3:$BA$118,MATCH(Progression_Cycle4!W$4,Problématiques_compétences!$D$3:$D$118,0),13)</f>
        <v>0</v>
      </c>
      <c r="X16" s="254">
        <f>INDEX(Problématiques_compétences!$D$3:$BA$118,MATCH(Progression_Cycle4!X$4,Problématiques_compétences!$D$3:$D$118,0),13)</f>
        <v>0</v>
      </c>
      <c r="Y16" s="254">
        <f>INDEX(Problématiques_compétences!$D$3:$BA$118,MATCH(Progression_Cycle4!Y$4,Problématiques_compétences!$D$3:$D$118,0),13)</f>
        <v>0</v>
      </c>
      <c r="Z16" s="254">
        <f>INDEX(Problématiques_compétences!$D$3:$BA$118,MATCH(Progression_Cycle4!Z$4,Problématiques_compétences!$D$3:$D$118,0),13)</f>
        <v>0</v>
      </c>
      <c r="AA16" s="254" t="str">
        <f>INDEX(Problématiques_compétences!$D$3:$BA$118,MATCH(Progression_Cycle4!AA$4,Problématiques_compétences!$D$3:$D$118,0),13)</f>
        <v>x</v>
      </c>
      <c r="AB16" s="254">
        <f>INDEX(Problématiques_compétences!$D$3:$BA$118,MATCH(Progression_Cycle4!AB$4,Problématiques_compétences!$D$3:$D$118,0),13)</f>
        <v>0</v>
      </c>
      <c r="AC16" s="254">
        <f>INDEX(Problématiques_compétences!$D$3:$BA$118,MATCH(Progression_Cycle4!AC$4,Problématiques_compétences!$D$3:$D$118,0),13)</f>
        <v>0</v>
      </c>
      <c r="AD16" s="254">
        <f>INDEX(Problématiques_compétences!$D$3:$BA$118,MATCH(Progression_Cycle4!AD$4,Problématiques_compétences!$D$3:$D$118,0),13)</f>
        <v>0</v>
      </c>
      <c r="AE16" s="254">
        <f>INDEX(Problématiques_compétences!$D$3:$BA$118,MATCH(Progression_Cycle4!AE$4,Problématiques_compétences!$D$3:$D$118,0),13)</f>
        <v>0</v>
      </c>
      <c r="AF16" s="254">
        <f>INDEX(Problématiques_compétences!$D$3:$BA$118,MATCH(Progression_Cycle4!AF$4,Problématiques_compétences!$D$3:$D$118,0),13)</f>
        <v>0</v>
      </c>
      <c r="AG16" s="254">
        <f>INDEX(Problématiques_compétences!$D$3:$BA$118,MATCH(Progression_Cycle4!AG$4,Problématiques_compétences!$D$3:$D$118,0),13)</f>
        <v>0</v>
      </c>
      <c r="AH16" s="254" t="str">
        <f>INDEX(Problématiques_compétences!$D$3:$BA$118,MATCH(Progression_Cycle4!AH$4,Problématiques_compétences!$D$3:$D$118,0),13)</f>
        <v>x</v>
      </c>
      <c r="AI16" s="254">
        <f>INDEX(Problématiques_compétences!$D$3:$BA$118,MATCH(Progression_Cycle4!AI$4,Problématiques_compétences!$D$3:$D$118,0),13)</f>
        <v>0</v>
      </c>
      <c r="AJ16" s="254">
        <f>INDEX(Problématiques_compétences!$D$3:$BA$118,MATCH(Progression_Cycle4!AJ$4,Problématiques_compétences!$D$3:$D$118,0),13)</f>
        <v>0</v>
      </c>
      <c r="AK16" s="254">
        <f>INDEX(Problématiques_compétences!$D$3:$BA$118,MATCH(Progression_Cycle4!AK$4,Problématiques_compétences!$D$3:$D$118,0),13)</f>
        <v>0</v>
      </c>
      <c r="AL16" s="254">
        <f>INDEX(Problématiques_compétences!$D$3:$BA$118,MATCH(Progression_Cycle4!AL$4,Problématiques_compétences!$D$3:$D$118,0),13)</f>
        <v>0</v>
      </c>
    </row>
    <row r="17" spans="1:38">
      <c r="A17" s="679"/>
      <c r="B17" s="217" t="s">
        <v>218</v>
      </c>
      <c r="C17" s="223" t="s">
        <v>135</v>
      </c>
      <c r="D17" s="346"/>
      <c r="E17" s="347"/>
      <c r="F17" s="342" t="s">
        <v>136</v>
      </c>
      <c r="G17" s="348"/>
      <c r="H17" s="6">
        <f t="shared" si="0"/>
        <v>4</v>
      </c>
      <c r="I17" s="254" t="str">
        <f>INDEX(Problématiques_compétences!$D$3:$BA$118,MATCH(Progression_Cycle4!I$4,Problématiques_compétences!$D$3:$D$118,0),14)</f>
        <v>x</v>
      </c>
      <c r="J17" s="254">
        <f>INDEX(Problématiques_compétences!$D$3:$BA$118,MATCH(Progression_Cycle4!J$4,Problématiques_compétences!$D$3:$D$118,0),14)</f>
        <v>0</v>
      </c>
      <c r="K17" s="254">
        <f>INDEX(Problématiques_compétences!$D$3:$BA$118,MATCH(Progression_Cycle4!K$4,Problématiques_compétences!$D$3:$D$118,0),14)</f>
        <v>0</v>
      </c>
      <c r="L17" s="254">
        <f>INDEX(Problématiques_compétences!$D$3:$BA$118,MATCH(Progression_Cycle4!L$4,Problématiques_compétences!$D$3:$D$118,0),14)</f>
        <v>0</v>
      </c>
      <c r="M17" s="254">
        <f>INDEX(Problématiques_compétences!$D$3:$BA$118,MATCH(Progression_Cycle4!M$4,Problématiques_compétences!$D$3:$D$118,0),14)</f>
        <v>0</v>
      </c>
      <c r="N17" s="254">
        <f>INDEX(Problématiques_compétences!$D$3:$BA$118,MATCH(Progression_Cycle4!N$4,Problématiques_compétences!$D$3:$D$118,0),14)</f>
        <v>0</v>
      </c>
      <c r="O17" s="254">
        <f>INDEX(Problématiques_compétences!$D$3:$BA$118,MATCH(Progression_Cycle4!O$4,Problématiques_compétences!$D$3:$D$118,0),14)</f>
        <v>0</v>
      </c>
      <c r="P17" s="254">
        <f>INDEX(Problématiques_compétences!$D$3:$BA$118,MATCH(Progression_Cycle4!P$4,Problématiques_compétences!$D$3:$D$118,0),14)</f>
        <v>0</v>
      </c>
      <c r="Q17" s="254">
        <f>INDEX(Problématiques_compétences!$D$3:$BA$118,MATCH(Progression_Cycle4!Q$4,Problématiques_compétences!$D$3:$D$118,0),14)</f>
        <v>0</v>
      </c>
      <c r="R17" s="254">
        <f>INDEX(Problématiques_compétences!$D$3:$BA$118,MATCH(Progression_Cycle4!R$4,Problématiques_compétences!$D$3:$D$118,0),14)</f>
        <v>0</v>
      </c>
      <c r="S17" s="254">
        <f>INDEX(Problématiques_compétences!$D$3:$BA$118,MATCH(Progression_Cycle4!S$4,Problématiques_compétences!$D$3:$D$118,0),14)</f>
        <v>0</v>
      </c>
      <c r="T17" s="254" t="str">
        <f>INDEX(Problématiques_compétences!$D$3:$BA$118,MATCH(Progression_Cycle4!T$4,Problématiques_compétences!$D$3:$D$118,0),14)</f>
        <v>x</v>
      </c>
      <c r="U17" s="254">
        <f>INDEX(Problématiques_compétences!$D$3:$BA$118,MATCH(Progression_Cycle4!U$4,Problématiques_compétences!$D$3:$D$118,0),14)</f>
        <v>0</v>
      </c>
      <c r="V17" s="254" t="str">
        <f>INDEX(Problématiques_compétences!$D$3:$BA$118,MATCH(Progression_Cycle4!V$4,Problématiques_compétences!$D$3:$D$118,0),14)</f>
        <v>x</v>
      </c>
      <c r="W17" s="254">
        <f>INDEX(Problématiques_compétences!$D$3:$BA$118,MATCH(Progression_Cycle4!W$4,Problématiques_compétences!$D$3:$D$118,0),14)</f>
        <v>0</v>
      </c>
      <c r="X17" s="254" t="str">
        <f>INDEX(Problématiques_compétences!$D$3:$BA$118,MATCH(Progression_Cycle4!X$4,Problématiques_compétences!$D$3:$D$118,0),14)</f>
        <v>x</v>
      </c>
      <c r="Y17" s="254">
        <f>INDEX(Problématiques_compétences!$D$3:$BA$118,MATCH(Progression_Cycle4!Y$4,Problématiques_compétences!$D$3:$D$118,0),14)</f>
        <v>0</v>
      </c>
      <c r="Z17" s="254">
        <f>INDEX(Problématiques_compétences!$D$3:$BA$118,MATCH(Progression_Cycle4!Z$4,Problématiques_compétences!$D$3:$D$118,0),14)</f>
        <v>0</v>
      </c>
      <c r="AA17" s="254">
        <f>INDEX(Problématiques_compétences!$D$3:$BA$118,MATCH(Progression_Cycle4!AA$4,Problématiques_compétences!$D$3:$D$118,0),14)</f>
        <v>0</v>
      </c>
      <c r="AB17" s="254">
        <f>INDEX(Problématiques_compétences!$D$3:$BA$118,MATCH(Progression_Cycle4!AB$4,Problématiques_compétences!$D$3:$D$118,0),14)</f>
        <v>0</v>
      </c>
      <c r="AC17" s="254">
        <f>INDEX(Problématiques_compétences!$D$3:$BA$118,MATCH(Progression_Cycle4!AC$4,Problématiques_compétences!$D$3:$D$118,0),14)</f>
        <v>0</v>
      </c>
      <c r="AD17" s="254">
        <f>INDEX(Problématiques_compétences!$D$3:$BA$118,MATCH(Progression_Cycle4!AD$4,Problématiques_compétences!$D$3:$D$118,0),14)</f>
        <v>0</v>
      </c>
      <c r="AE17" s="254">
        <f>INDEX(Problématiques_compétences!$D$3:$BA$118,MATCH(Progression_Cycle4!AE$4,Problématiques_compétences!$D$3:$D$118,0),14)</f>
        <v>0</v>
      </c>
      <c r="AF17" s="254">
        <f>INDEX(Problématiques_compétences!$D$3:$BA$118,MATCH(Progression_Cycle4!AF$4,Problématiques_compétences!$D$3:$D$118,0),14)</f>
        <v>0</v>
      </c>
      <c r="AG17" s="254">
        <f>INDEX(Problématiques_compétences!$D$3:$BA$118,MATCH(Progression_Cycle4!AG$4,Problématiques_compétences!$D$3:$D$118,0),14)</f>
        <v>0</v>
      </c>
      <c r="AH17" s="254">
        <f>INDEX(Problématiques_compétences!$D$3:$BA$118,MATCH(Progression_Cycle4!AH$4,Problématiques_compétences!$D$3:$D$118,0),14)</f>
        <v>0</v>
      </c>
      <c r="AI17" s="254">
        <f>INDEX(Problématiques_compétences!$D$3:$BA$118,MATCH(Progression_Cycle4!AI$4,Problématiques_compétences!$D$3:$D$118,0),14)</f>
        <v>0</v>
      </c>
      <c r="AJ17" s="254">
        <f>INDEX(Problématiques_compétences!$D$3:$BA$118,MATCH(Progression_Cycle4!AJ$4,Problématiques_compétences!$D$3:$D$118,0),14)</f>
        <v>0</v>
      </c>
      <c r="AK17" s="254">
        <f>INDEX(Problématiques_compétences!$D$3:$BA$118,MATCH(Progression_Cycle4!AK$4,Problématiques_compétences!$D$3:$D$118,0),14)</f>
        <v>0</v>
      </c>
      <c r="AL17" s="254">
        <f>INDEX(Problématiques_compétences!$D$3:$BA$118,MATCH(Progression_Cycle4!AL$4,Problématiques_compétences!$D$3:$D$118,0),14)</f>
        <v>0</v>
      </c>
    </row>
    <row r="18" spans="1:38">
      <c r="A18" s="679"/>
      <c r="B18" s="217" t="s">
        <v>214</v>
      </c>
      <c r="C18" s="223" t="s">
        <v>333</v>
      </c>
      <c r="D18" s="349" t="s">
        <v>203</v>
      </c>
      <c r="E18" s="347"/>
      <c r="F18" s="347"/>
      <c r="G18" s="348"/>
      <c r="H18" s="6">
        <f t="shared" si="0"/>
        <v>4</v>
      </c>
      <c r="I18" s="254">
        <f>INDEX(Problématiques_compétences!$D$3:$BA$118,MATCH(Progression_Cycle4!I$4,Problématiques_compétences!$D$3:$D$118,0),15)</f>
        <v>0</v>
      </c>
      <c r="J18" s="254">
        <f>INDEX(Problématiques_compétences!$D$3:$BA$118,MATCH(Progression_Cycle4!J$4,Problématiques_compétences!$D$3:$D$118,0),15)</f>
        <v>0</v>
      </c>
      <c r="K18" s="254">
        <f>INDEX(Problématiques_compétences!$D$3:$BA$118,MATCH(Progression_Cycle4!K$4,Problématiques_compétences!$D$3:$D$118,0),15)</f>
        <v>0</v>
      </c>
      <c r="L18" s="254">
        <f>INDEX(Problématiques_compétences!$D$3:$BA$118,MATCH(Progression_Cycle4!L$4,Problématiques_compétences!$D$3:$D$118,0),15)</f>
        <v>0</v>
      </c>
      <c r="M18" s="254" t="str">
        <f>INDEX(Problématiques_compétences!$D$3:$BA$118,MATCH(Progression_Cycle4!M$4,Problématiques_compétences!$D$3:$D$118,0),15)</f>
        <v>x</v>
      </c>
      <c r="N18" s="254" t="str">
        <f>INDEX(Problématiques_compétences!$D$3:$BA$118,MATCH(Progression_Cycle4!N$4,Problématiques_compétences!$D$3:$D$118,0),15)</f>
        <v>x</v>
      </c>
      <c r="O18" s="254">
        <f>INDEX(Problématiques_compétences!$D$3:$BA$118,MATCH(Progression_Cycle4!O$4,Problématiques_compétences!$D$3:$D$118,0),15)</f>
        <v>0</v>
      </c>
      <c r="P18" s="254">
        <f>INDEX(Problématiques_compétences!$D$3:$BA$118,MATCH(Progression_Cycle4!P$4,Problématiques_compétences!$D$3:$D$118,0),15)</f>
        <v>0</v>
      </c>
      <c r="Q18" s="254" t="str">
        <f>INDEX(Problématiques_compétences!$D$3:$BA$118,MATCH(Progression_Cycle4!Q$4,Problématiques_compétences!$D$3:$D$118,0),15)</f>
        <v>x</v>
      </c>
      <c r="R18" s="254">
        <f>INDEX(Problématiques_compétences!$D$3:$BA$118,MATCH(Progression_Cycle4!R$4,Problématiques_compétences!$D$3:$D$118,0),15)</f>
        <v>0</v>
      </c>
      <c r="S18" s="254">
        <f>INDEX(Problématiques_compétences!$D$3:$BA$118,MATCH(Progression_Cycle4!S$4,Problématiques_compétences!$D$3:$D$118,0),15)</f>
        <v>0</v>
      </c>
      <c r="T18" s="254">
        <f>INDEX(Problématiques_compétences!$D$3:$BA$118,MATCH(Progression_Cycle4!T$4,Problématiques_compétences!$D$3:$D$118,0),15)</f>
        <v>0</v>
      </c>
      <c r="U18" s="254">
        <f>INDEX(Problématiques_compétences!$D$3:$BA$118,MATCH(Progression_Cycle4!U$4,Problématiques_compétences!$D$3:$D$118,0),15)</f>
        <v>0</v>
      </c>
      <c r="V18" s="254">
        <f>INDEX(Problématiques_compétences!$D$3:$BA$118,MATCH(Progression_Cycle4!V$4,Problématiques_compétences!$D$3:$D$118,0),15)</f>
        <v>0</v>
      </c>
      <c r="W18" s="254">
        <f>INDEX(Problématiques_compétences!$D$3:$BA$118,MATCH(Progression_Cycle4!W$4,Problématiques_compétences!$D$3:$D$118,0),15)</f>
        <v>0</v>
      </c>
      <c r="X18" s="254">
        <f>INDEX(Problématiques_compétences!$D$3:$BA$118,MATCH(Progression_Cycle4!X$4,Problématiques_compétences!$D$3:$D$118,0),15)</f>
        <v>0</v>
      </c>
      <c r="Y18" s="254">
        <f>INDEX(Problématiques_compétences!$D$3:$BA$118,MATCH(Progression_Cycle4!Y$4,Problématiques_compétences!$D$3:$D$118,0),15)</f>
        <v>0</v>
      </c>
      <c r="Z18" s="254">
        <f>INDEX(Problématiques_compétences!$D$3:$BA$118,MATCH(Progression_Cycle4!Z$4,Problématiques_compétences!$D$3:$D$118,0),15)</f>
        <v>0</v>
      </c>
      <c r="AA18" s="254" t="str">
        <f>INDEX(Problématiques_compétences!$D$3:$BA$118,MATCH(Progression_Cycle4!AA$4,Problématiques_compétences!$D$3:$D$118,0),15)</f>
        <v>x</v>
      </c>
      <c r="AB18" s="254">
        <f>INDEX(Problématiques_compétences!$D$3:$BA$118,MATCH(Progression_Cycle4!AB$4,Problématiques_compétences!$D$3:$D$118,0),15)</f>
        <v>0</v>
      </c>
      <c r="AC18" s="254">
        <f>INDEX(Problématiques_compétences!$D$3:$BA$118,MATCH(Progression_Cycle4!AC$4,Problématiques_compétences!$D$3:$D$118,0),15)</f>
        <v>0</v>
      </c>
      <c r="AD18" s="254">
        <f>INDEX(Problématiques_compétences!$D$3:$BA$118,MATCH(Progression_Cycle4!AD$4,Problématiques_compétences!$D$3:$D$118,0),15)</f>
        <v>0</v>
      </c>
      <c r="AE18" s="254">
        <f>INDEX(Problématiques_compétences!$D$3:$BA$118,MATCH(Progression_Cycle4!AE$4,Problématiques_compétences!$D$3:$D$118,0),15)</f>
        <v>0</v>
      </c>
      <c r="AF18" s="254">
        <f>INDEX(Problématiques_compétences!$D$3:$BA$118,MATCH(Progression_Cycle4!AF$4,Problématiques_compétences!$D$3:$D$118,0),15)</f>
        <v>0</v>
      </c>
      <c r="AG18" s="254">
        <f>INDEX(Problématiques_compétences!$D$3:$BA$118,MATCH(Progression_Cycle4!AG$4,Problématiques_compétences!$D$3:$D$118,0),15)</f>
        <v>0</v>
      </c>
      <c r="AH18" s="254">
        <f>INDEX(Problématiques_compétences!$D$3:$BA$118,MATCH(Progression_Cycle4!AH$4,Problématiques_compétences!$D$3:$D$118,0),15)</f>
        <v>0</v>
      </c>
      <c r="AI18" s="254">
        <f>INDEX(Problématiques_compétences!$D$3:$BA$118,MATCH(Progression_Cycle4!AI$4,Problématiques_compétences!$D$3:$D$118,0),15)</f>
        <v>0</v>
      </c>
      <c r="AJ18" s="254">
        <f>INDEX(Problématiques_compétences!$D$3:$BA$118,MATCH(Progression_Cycle4!AJ$4,Problématiques_compétences!$D$3:$D$118,0),15)</f>
        <v>0</v>
      </c>
      <c r="AK18" s="254">
        <f>INDEX(Problématiques_compétences!$D$3:$BA$118,MATCH(Progression_Cycle4!AK$4,Problématiques_compétences!$D$3:$D$118,0),15)</f>
        <v>0</v>
      </c>
      <c r="AL18" s="254">
        <f>INDEX(Problématiques_compétences!$D$3:$BA$118,MATCH(Progression_Cycle4!AL$4,Problématiques_compétences!$D$3:$D$118,0),15)</f>
        <v>0</v>
      </c>
    </row>
    <row r="19" spans="1:38" ht="30">
      <c r="A19" s="679"/>
      <c r="B19" s="217" t="s">
        <v>211</v>
      </c>
      <c r="C19" s="223" t="s">
        <v>286</v>
      </c>
      <c r="D19" s="349" t="s">
        <v>190</v>
      </c>
      <c r="E19" s="347"/>
      <c r="F19" s="342" t="s">
        <v>140</v>
      </c>
      <c r="G19" s="348"/>
      <c r="H19" s="6">
        <f t="shared" si="0"/>
        <v>5</v>
      </c>
      <c r="I19" s="254">
        <f>INDEX(Problématiques_compétences!$D$3:$BA$118,MATCH(Progression_Cycle4!I$4,Problématiques_compétences!$D$3:$D$118,0),16)</f>
        <v>0</v>
      </c>
      <c r="J19" s="254">
        <f>INDEX(Problématiques_compétences!$D$3:$BA$118,MATCH(Progression_Cycle4!J$4,Problématiques_compétences!$D$3:$D$118,0),16)</f>
        <v>0</v>
      </c>
      <c r="K19" s="254">
        <f>INDEX(Problématiques_compétences!$D$3:$BA$118,MATCH(Progression_Cycle4!K$4,Problématiques_compétences!$D$3:$D$118,0),16)</f>
        <v>0</v>
      </c>
      <c r="L19" s="254">
        <f>INDEX(Problématiques_compétences!$D$3:$BA$118,MATCH(Progression_Cycle4!L$4,Problématiques_compétences!$D$3:$D$118,0),16)</f>
        <v>0</v>
      </c>
      <c r="M19" s="254" t="str">
        <f>INDEX(Problématiques_compétences!$D$3:$BA$118,MATCH(Progression_Cycle4!M$4,Problématiques_compétences!$D$3:$D$118,0),16)</f>
        <v>x</v>
      </c>
      <c r="N19" s="254">
        <f>INDEX(Problématiques_compétences!$D$3:$BA$118,MATCH(Progression_Cycle4!N$4,Problématiques_compétences!$D$3:$D$118,0),16)</f>
        <v>0</v>
      </c>
      <c r="O19" s="254" t="str">
        <f>INDEX(Problématiques_compétences!$D$3:$BA$118,MATCH(Progression_Cycle4!O$4,Problématiques_compétences!$D$3:$D$118,0),16)</f>
        <v>x</v>
      </c>
      <c r="P19" s="254">
        <f>INDEX(Problématiques_compétences!$D$3:$BA$118,MATCH(Progression_Cycle4!P$4,Problématiques_compétences!$D$3:$D$118,0),16)</f>
        <v>0</v>
      </c>
      <c r="Q19" s="254">
        <f>INDEX(Problématiques_compétences!$D$3:$BA$118,MATCH(Progression_Cycle4!Q$4,Problématiques_compétences!$D$3:$D$118,0),16)</f>
        <v>0</v>
      </c>
      <c r="R19" s="254" t="str">
        <f>INDEX(Problématiques_compétences!$D$3:$BA$118,MATCH(Progression_Cycle4!R$4,Problématiques_compétences!$D$3:$D$118,0),16)</f>
        <v>x</v>
      </c>
      <c r="S19" s="254">
        <f>INDEX(Problématiques_compétences!$D$3:$BA$118,MATCH(Progression_Cycle4!S$4,Problématiques_compétences!$D$3:$D$118,0),16)</f>
        <v>0</v>
      </c>
      <c r="T19" s="254">
        <f>INDEX(Problématiques_compétences!$D$3:$BA$118,MATCH(Progression_Cycle4!T$4,Problématiques_compétences!$D$3:$D$118,0),16)</f>
        <v>0</v>
      </c>
      <c r="U19" s="254">
        <f>INDEX(Problématiques_compétences!$D$3:$BA$118,MATCH(Progression_Cycle4!U$4,Problématiques_compétences!$D$3:$D$118,0),16)</f>
        <v>0</v>
      </c>
      <c r="V19" s="254">
        <f>INDEX(Problématiques_compétences!$D$3:$BA$118,MATCH(Progression_Cycle4!V$4,Problématiques_compétences!$D$3:$D$118,0),16)</f>
        <v>0</v>
      </c>
      <c r="W19" s="254" t="str">
        <f>INDEX(Problématiques_compétences!$D$3:$BA$118,MATCH(Progression_Cycle4!W$4,Problématiques_compétences!$D$3:$D$118,0),16)</f>
        <v>x</v>
      </c>
      <c r="X19" s="254">
        <f>INDEX(Problématiques_compétences!$D$3:$BA$118,MATCH(Progression_Cycle4!X$4,Problématiques_compétences!$D$3:$D$118,0),16)</f>
        <v>0</v>
      </c>
      <c r="Y19" s="254">
        <f>INDEX(Problématiques_compétences!$D$3:$BA$118,MATCH(Progression_Cycle4!Y$4,Problématiques_compétences!$D$3:$D$118,0),16)</f>
        <v>0</v>
      </c>
      <c r="Z19" s="254">
        <f>INDEX(Problématiques_compétences!$D$3:$BA$118,MATCH(Progression_Cycle4!Z$4,Problématiques_compétences!$D$3:$D$118,0),16)</f>
        <v>0</v>
      </c>
      <c r="AA19" s="254" t="str">
        <f>INDEX(Problématiques_compétences!$D$3:$BA$118,MATCH(Progression_Cycle4!AA$4,Problématiques_compétences!$D$3:$D$118,0),16)</f>
        <v>x</v>
      </c>
      <c r="AB19" s="254">
        <f>INDEX(Problématiques_compétences!$D$3:$BA$118,MATCH(Progression_Cycle4!AB$4,Problématiques_compétences!$D$3:$D$118,0),16)</f>
        <v>0</v>
      </c>
      <c r="AC19" s="254">
        <f>INDEX(Problématiques_compétences!$D$3:$BA$118,MATCH(Progression_Cycle4!AC$4,Problématiques_compétences!$D$3:$D$118,0),16)</f>
        <v>0</v>
      </c>
      <c r="AD19" s="254">
        <f>INDEX(Problématiques_compétences!$D$3:$BA$118,MATCH(Progression_Cycle4!AD$4,Problématiques_compétences!$D$3:$D$118,0),16)</f>
        <v>0</v>
      </c>
      <c r="AE19" s="254">
        <f>INDEX(Problématiques_compétences!$D$3:$BA$118,MATCH(Progression_Cycle4!AE$4,Problématiques_compétences!$D$3:$D$118,0),16)</f>
        <v>0</v>
      </c>
      <c r="AF19" s="254">
        <f>INDEX(Problématiques_compétences!$D$3:$BA$118,MATCH(Progression_Cycle4!AF$4,Problématiques_compétences!$D$3:$D$118,0),16)</f>
        <v>0</v>
      </c>
      <c r="AG19" s="254">
        <f>INDEX(Problématiques_compétences!$D$3:$BA$118,MATCH(Progression_Cycle4!AG$4,Problématiques_compétences!$D$3:$D$118,0),16)</f>
        <v>0</v>
      </c>
      <c r="AH19" s="254">
        <f>INDEX(Problématiques_compétences!$D$3:$BA$118,MATCH(Progression_Cycle4!AH$4,Problématiques_compétences!$D$3:$D$118,0),16)</f>
        <v>0</v>
      </c>
      <c r="AI19" s="254">
        <f>INDEX(Problématiques_compétences!$D$3:$BA$118,MATCH(Progression_Cycle4!AI$4,Problématiques_compétences!$D$3:$D$118,0),16)</f>
        <v>0</v>
      </c>
      <c r="AJ19" s="254">
        <f>INDEX(Problématiques_compétences!$D$3:$BA$118,MATCH(Progression_Cycle4!AJ$4,Problématiques_compétences!$D$3:$D$118,0),16)</f>
        <v>0</v>
      </c>
      <c r="AK19" s="254">
        <f>INDEX(Problématiques_compétences!$D$3:$BA$118,MATCH(Progression_Cycle4!AK$4,Problématiques_compétences!$D$3:$D$118,0),16)</f>
        <v>0</v>
      </c>
      <c r="AL19" s="254">
        <f>INDEX(Problématiques_compétences!$D$3:$BA$118,MATCH(Progression_Cycle4!AL$4,Problématiques_compétences!$D$3:$D$118,0),16)</f>
        <v>0</v>
      </c>
    </row>
    <row r="20" spans="1:38" ht="30.75" thickBot="1">
      <c r="A20" s="680"/>
      <c r="B20" s="221" t="s">
        <v>209</v>
      </c>
      <c r="C20" s="222" t="s">
        <v>334</v>
      </c>
      <c r="D20" s="44" t="s">
        <v>203</v>
      </c>
      <c r="E20" s="347"/>
      <c r="F20" s="347"/>
      <c r="G20" s="350" t="s">
        <v>91</v>
      </c>
      <c r="H20" s="6">
        <f t="shared" si="0"/>
        <v>6</v>
      </c>
      <c r="I20" s="254">
        <f>INDEX(Problématiques_compétences!$D$3:$BA$118,MATCH(Progression_Cycle4!I$4,Problématiques_compétences!$D$3:$D$118,0),17)</f>
        <v>0</v>
      </c>
      <c r="J20" s="254">
        <f>INDEX(Problématiques_compétences!$D$3:$BA$118,MATCH(Progression_Cycle4!J$4,Problématiques_compétences!$D$3:$D$118,0),17)</f>
        <v>0</v>
      </c>
      <c r="K20" s="254">
        <f>INDEX(Problématiques_compétences!$D$3:$BA$118,MATCH(Progression_Cycle4!K$4,Problématiques_compétences!$D$3:$D$118,0),17)</f>
        <v>0</v>
      </c>
      <c r="L20" s="254">
        <f>INDEX(Problématiques_compétences!$D$3:$BA$118,MATCH(Progression_Cycle4!L$4,Problématiques_compétences!$D$3:$D$118,0),17)</f>
        <v>0</v>
      </c>
      <c r="M20" s="254" t="str">
        <f>INDEX(Problématiques_compétences!$D$3:$BA$118,MATCH(Progression_Cycle4!M$4,Problématiques_compétences!$D$3:$D$118,0),17)</f>
        <v>x</v>
      </c>
      <c r="N20" s="254">
        <f>INDEX(Problématiques_compétences!$D$3:$BA$118,MATCH(Progression_Cycle4!N$4,Problématiques_compétences!$D$3:$D$118,0),17)</f>
        <v>0</v>
      </c>
      <c r="O20" s="254">
        <f>INDEX(Problématiques_compétences!$D$3:$BA$118,MATCH(Progression_Cycle4!O$4,Problématiques_compétences!$D$3:$D$118,0),17)</f>
        <v>0</v>
      </c>
      <c r="P20" s="254">
        <f>INDEX(Problématiques_compétences!$D$3:$BA$118,MATCH(Progression_Cycle4!P$4,Problématiques_compétences!$D$3:$D$118,0),17)</f>
        <v>0</v>
      </c>
      <c r="Q20" s="254">
        <f>INDEX(Problématiques_compétences!$D$3:$BA$118,MATCH(Progression_Cycle4!Q$4,Problématiques_compétences!$D$3:$D$118,0),17)</f>
        <v>0</v>
      </c>
      <c r="R20" s="254">
        <f>INDEX(Problématiques_compétences!$D$3:$BA$118,MATCH(Progression_Cycle4!R$4,Problématiques_compétences!$D$3:$D$118,0),17)</f>
        <v>0</v>
      </c>
      <c r="S20" s="254" t="str">
        <f>INDEX(Problématiques_compétences!$D$3:$BA$118,MATCH(Progression_Cycle4!S$4,Problématiques_compétences!$D$3:$D$118,0),17)</f>
        <v>x</v>
      </c>
      <c r="T20" s="254">
        <f>INDEX(Problématiques_compétences!$D$3:$BA$118,MATCH(Progression_Cycle4!T$4,Problématiques_compétences!$D$3:$D$118,0),17)</f>
        <v>0</v>
      </c>
      <c r="U20" s="254">
        <f>INDEX(Problématiques_compétences!$D$3:$BA$118,MATCH(Progression_Cycle4!U$4,Problématiques_compétences!$D$3:$D$118,0),17)</f>
        <v>0</v>
      </c>
      <c r="V20" s="254">
        <f>INDEX(Problématiques_compétences!$D$3:$BA$118,MATCH(Progression_Cycle4!V$4,Problématiques_compétences!$D$3:$D$118,0),17)</f>
        <v>0</v>
      </c>
      <c r="W20" s="254" t="str">
        <f>INDEX(Problématiques_compétences!$D$3:$BA$118,MATCH(Progression_Cycle4!W$4,Problématiques_compétences!$D$3:$D$118,0),17)</f>
        <v>x</v>
      </c>
      <c r="X20" s="254">
        <f>INDEX(Problématiques_compétences!$D$3:$BA$118,MATCH(Progression_Cycle4!X$4,Problématiques_compétences!$D$3:$D$118,0),17)</f>
        <v>0</v>
      </c>
      <c r="Y20" s="254">
        <f>INDEX(Problématiques_compétences!$D$3:$BA$118,MATCH(Progression_Cycle4!Y$4,Problématiques_compétences!$D$3:$D$118,0),17)</f>
        <v>0</v>
      </c>
      <c r="Z20" s="254">
        <f>INDEX(Problématiques_compétences!$D$3:$BA$118,MATCH(Progression_Cycle4!Z$4,Problématiques_compétences!$D$3:$D$118,0),17)</f>
        <v>0</v>
      </c>
      <c r="AA20" s="254">
        <f>INDEX(Problématiques_compétences!$D$3:$BA$118,MATCH(Progression_Cycle4!AA$4,Problématiques_compétences!$D$3:$D$118,0),17)</f>
        <v>0</v>
      </c>
      <c r="AB20" s="254">
        <f>INDEX(Problématiques_compétences!$D$3:$BA$118,MATCH(Progression_Cycle4!AB$4,Problématiques_compétences!$D$3:$D$118,0),17)</f>
        <v>0</v>
      </c>
      <c r="AC20" s="254">
        <f>INDEX(Problématiques_compétences!$D$3:$BA$118,MATCH(Progression_Cycle4!AC$4,Problématiques_compétences!$D$3:$D$118,0),17)</f>
        <v>0</v>
      </c>
      <c r="AD20" s="254" t="str">
        <f>INDEX(Problématiques_compétences!$D$3:$BA$118,MATCH(Progression_Cycle4!AD$4,Problématiques_compétences!$D$3:$D$118,0),17)</f>
        <v>x</v>
      </c>
      <c r="AE20" s="254">
        <f>INDEX(Problématiques_compétences!$D$3:$BA$118,MATCH(Progression_Cycle4!AE$4,Problématiques_compétences!$D$3:$D$118,0),17)</f>
        <v>0</v>
      </c>
      <c r="AF20" s="254" t="str">
        <f>INDEX(Problématiques_compétences!$D$3:$BA$118,MATCH(Progression_Cycle4!AF$4,Problématiques_compétences!$D$3:$D$118,0),17)</f>
        <v>x</v>
      </c>
      <c r="AG20" s="254">
        <f>INDEX(Problématiques_compétences!$D$3:$BA$118,MATCH(Progression_Cycle4!AG$4,Problématiques_compétences!$D$3:$D$118,0),17)</f>
        <v>0</v>
      </c>
      <c r="AH20" s="254">
        <f>INDEX(Problématiques_compétences!$D$3:$BA$118,MATCH(Progression_Cycle4!AH$4,Problématiques_compétences!$D$3:$D$118,0),17)</f>
        <v>0</v>
      </c>
      <c r="AI20" s="254">
        <f>INDEX(Problématiques_compétences!$D$3:$BA$118,MATCH(Progression_Cycle4!AI$4,Problématiques_compétences!$D$3:$D$118,0),17)</f>
        <v>0</v>
      </c>
      <c r="AJ20" s="254">
        <f>INDEX(Problématiques_compétences!$D$3:$BA$118,MATCH(Progression_Cycle4!AJ$4,Problématiques_compétences!$D$3:$D$118,0),17)</f>
        <v>0</v>
      </c>
      <c r="AK20" s="254">
        <f>INDEX(Problématiques_compétences!$D$3:$BA$118,MATCH(Progression_Cycle4!AK$4,Problématiques_compétences!$D$3:$D$118,0),17)</f>
        <v>0</v>
      </c>
      <c r="AL20" s="254" t="str">
        <f>INDEX(Problématiques_compétences!$D$3:$BA$118,MATCH(Progression_Cycle4!AL$4,Problématiques_compétences!$D$3:$D$118,0),17)</f>
        <v>x</v>
      </c>
    </row>
    <row r="21" spans="1:38">
      <c r="A21" s="678" t="s">
        <v>191</v>
      </c>
      <c r="B21" s="215">
        <v>3</v>
      </c>
      <c r="C21" s="216" t="s">
        <v>46</v>
      </c>
      <c r="D21" s="827"/>
      <c r="E21" s="828"/>
      <c r="F21" s="828"/>
      <c r="G21" s="828"/>
      <c r="H21" s="828"/>
      <c r="I21" s="828"/>
      <c r="J21" s="828"/>
      <c r="K21" s="828"/>
      <c r="L21" s="828"/>
      <c r="M21" s="828"/>
      <c r="N21" s="828"/>
      <c r="O21" s="828"/>
      <c r="P21" s="828"/>
      <c r="Q21" s="828"/>
      <c r="R21" s="828"/>
      <c r="S21" s="828"/>
      <c r="T21" s="828"/>
      <c r="U21" s="828"/>
      <c r="V21" s="828"/>
      <c r="W21" s="828"/>
      <c r="X21" s="828"/>
      <c r="Y21" s="828"/>
      <c r="Z21" s="828"/>
      <c r="AA21" s="828"/>
      <c r="AB21" s="828"/>
      <c r="AC21" s="828"/>
      <c r="AD21" s="828"/>
      <c r="AE21" s="828"/>
      <c r="AF21" s="828"/>
      <c r="AG21" s="828"/>
      <c r="AH21" s="828"/>
      <c r="AI21" s="828"/>
      <c r="AJ21" s="828"/>
      <c r="AK21" s="828"/>
      <c r="AL21" s="829"/>
    </row>
    <row r="22" spans="1:38" ht="45">
      <c r="A22" s="833"/>
      <c r="B22" s="217" t="s">
        <v>206</v>
      </c>
      <c r="C22" s="223" t="s">
        <v>288</v>
      </c>
      <c r="D22" s="346"/>
      <c r="E22" s="345" t="s">
        <v>155</v>
      </c>
      <c r="F22" s="347"/>
      <c r="G22" s="348"/>
      <c r="H22" s="6">
        <f>COUNTIF(I22:AL22,"x")</f>
        <v>5</v>
      </c>
      <c r="I22" s="254" t="str">
        <f>INDEX(Problématiques_compétences!$D$3:$BA$118,MATCH(Progression_Cycle4!I$4,Problématiques_compétences!$D$3:$D$118,0),18)</f>
        <v>x</v>
      </c>
      <c r="J22" s="254" t="str">
        <f>INDEX(Problématiques_compétences!$D$3:$BA$118,MATCH(Progression_Cycle4!J$4,Problématiques_compétences!$D$3:$D$118,0),18)</f>
        <v>x</v>
      </c>
      <c r="K22" s="254">
        <f>INDEX(Problématiques_compétences!$D$3:$BA$118,MATCH(Progression_Cycle4!K$4,Problématiques_compétences!$D$3:$D$118,0),18)</f>
        <v>0</v>
      </c>
      <c r="L22" s="254">
        <f>INDEX(Problématiques_compétences!$D$3:$BA$118,MATCH(Progression_Cycle4!L$4,Problématiques_compétences!$D$3:$D$118,0),18)</f>
        <v>0</v>
      </c>
      <c r="M22" s="254">
        <f>INDEX(Problématiques_compétences!$D$3:$BA$118,MATCH(Progression_Cycle4!M$4,Problématiques_compétences!$D$3:$D$118,0),18)</f>
        <v>0</v>
      </c>
      <c r="N22" s="254">
        <f>INDEX(Problématiques_compétences!$D$3:$BA$118,MATCH(Progression_Cycle4!N$4,Problématiques_compétences!$D$3:$D$118,0),18)</f>
        <v>0</v>
      </c>
      <c r="O22" s="254">
        <f>INDEX(Problématiques_compétences!$D$3:$BA$118,MATCH(Progression_Cycle4!O$4,Problématiques_compétences!$D$3:$D$118,0),18)</f>
        <v>0</v>
      </c>
      <c r="P22" s="254">
        <f>INDEX(Problématiques_compétences!$D$3:$BA$118,MATCH(Progression_Cycle4!P$4,Problématiques_compétences!$D$3:$D$118,0),18)</f>
        <v>0</v>
      </c>
      <c r="Q22" s="254">
        <f>INDEX(Problématiques_compétences!$D$3:$BA$118,MATCH(Progression_Cycle4!Q$4,Problématiques_compétences!$D$3:$D$118,0),18)</f>
        <v>0</v>
      </c>
      <c r="R22" s="254">
        <f>INDEX(Problématiques_compétences!$D$3:$BA$118,MATCH(Progression_Cycle4!R$4,Problématiques_compétences!$D$3:$D$118,0),18)</f>
        <v>0</v>
      </c>
      <c r="S22" s="254">
        <f>INDEX(Problématiques_compétences!$D$3:$BA$118,MATCH(Progression_Cycle4!S$4,Problématiques_compétences!$D$3:$D$118,0),18)</f>
        <v>0</v>
      </c>
      <c r="T22" s="254">
        <f>INDEX(Problématiques_compétences!$D$3:$BA$118,MATCH(Progression_Cycle4!T$4,Problématiques_compétences!$D$3:$D$118,0),18)</f>
        <v>0</v>
      </c>
      <c r="U22" s="254">
        <f>INDEX(Problématiques_compétences!$D$3:$BA$118,MATCH(Progression_Cycle4!U$4,Problématiques_compétences!$D$3:$D$118,0),18)</f>
        <v>0</v>
      </c>
      <c r="V22" s="254">
        <f>INDEX(Problématiques_compétences!$D$3:$BA$118,MATCH(Progression_Cycle4!V$4,Problématiques_compétences!$D$3:$D$118,0),18)</f>
        <v>0</v>
      </c>
      <c r="W22" s="254">
        <f>INDEX(Problématiques_compétences!$D$3:$BA$118,MATCH(Progression_Cycle4!W$4,Problématiques_compétences!$D$3:$D$118,0),18)</f>
        <v>0</v>
      </c>
      <c r="X22" s="254">
        <f>INDEX(Problématiques_compétences!$D$3:$BA$118,MATCH(Progression_Cycle4!X$4,Problématiques_compétences!$D$3:$D$118,0),18)</f>
        <v>0</v>
      </c>
      <c r="Y22" s="254">
        <f>INDEX(Problématiques_compétences!$D$3:$BA$118,MATCH(Progression_Cycle4!Y$4,Problématiques_compétences!$D$3:$D$118,0),18)</f>
        <v>0</v>
      </c>
      <c r="Z22" s="254">
        <f>INDEX(Problématiques_compétences!$D$3:$BA$118,MATCH(Progression_Cycle4!Z$4,Problématiques_compétences!$D$3:$D$118,0),18)</f>
        <v>0</v>
      </c>
      <c r="AA22" s="254">
        <f>INDEX(Problématiques_compétences!$D$3:$BA$118,MATCH(Progression_Cycle4!AA$4,Problématiques_compétences!$D$3:$D$118,0),18)</f>
        <v>0</v>
      </c>
      <c r="AB22" s="254">
        <f>INDEX(Problématiques_compétences!$D$3:$BA$118,MATCH(Progression_Cycle4!AB$4,Problématiques_compétences!$D$3:$D$118,0),18)</f>
        <v>0</v>
      </c>
      <c r="AC22" s="254" t="str">
        <f>INDEX(Problématiques_compétences!$D$3:$BA$118,MATCH(Progression_Cycle4!AC$4,Problématiques_compétences!$D$3:$D$118,0),18)</f>
        <v>x</v>
      </c>
      <c r="AD22" s="254" t="str">
        <f>INDEX(Problématiques_compétences!$D$3:$BA$118,MATCH(Progression_Cycle4!AD$4,Problématiques_compétences!$D$3:$D$118,0),18)</f>
        <v>x</v>
      </c>
      <c r="AE22" s="254">
        <f>INDEX(Problématiques_compétences!$D$3:$BA$118,MATCH(Progression_Cycle4!AE$4,Problématiques_compétences!$D$3:$D$118,0),18)</f>
        <v>0</v>
      </c>
      <c r="AF22" s="254">
        <f>INDEX(Problématiques_compétences!$D$3:$BA$118,MATCH(Progression_Cycle4!AF$4,Problématiques_compétences!$D$3:$D$118,0),18)</f>
        <v>0</v>
      </c>
      <c r="AG22" s="254">
        <f>INDEX(Problématiques_compétences!$D$3:$BA$118,MATCH(Progression_Cycle4!AG$4,Problématiques_compétences!$D$3:$D$118,0),18)</f>
        <v>0</v>
      </c>
      <c r="AH22" s="254">
        <f>INDEX(Problématiques_compétences!$D$3:$BA$118,MATCH(Progression_Cycle4!AH$4,Problématiques_compétences!$D$3:$D$118,0),18)</f>
        <v>0</v>
      </c>
      <c r="AI22" s="254">
        <f>INDEX(Problématiques_compétences!$D$3:$BA$118,MATCH(Progression_Cycle4!AI$4,Problématiques_compétences!$D$3:$D$118,0),18)</f>
        <v>0</v>
      </c>
      <c r="AJ22" s="254" t="str">
        <f>INDEX(Problématiques_compétences!$D$3:$BA$118,MATCH(Progression_Cycle4!AJ$4,Problématiques_compétences!$D$3:$D$118,0),18)</f>
        <v>x</v>
      </c>
      <c r="AK22" s="254">
        <f>INDEX(Problématiques_compétences!$D$3:$BA$118,MATCH(Progression_Cycle4!AK$4,Problématiques_compétences!$D$3:$D$118,0),18)</f>
        <v>0</v>
      </c>
      <c r="AL22" s="254">
        <f>INDEX(Problématiques_compétences!$D$3:$BA$118,MATCH(Progression_Cycle4!AL$4,Problématiques_compétences!$D$3:$D$118,0),18)</f>
        <v>0</v>
      </c>
    </row>
    <row r="23" spans="1:38" ht="30">
      <c r="A23" s="833"/>
      <c r="B23" s="219" t="s">
        <v>204</v>
      </c>
      <c r="C23" s="224" t="s">
        <v>289</v>
      </c>
      <c r="D23" s="349" t="s">
        <v>203</v>
      </c>
      <c r="E23" s="345" t="s">
        <v>148</v>
      </c>
      <c r="F23" s="347"/>
      <c r="G23" s="348"/>
      <c r="H23" s="6">
        <f>COUNTIF(I23:AL23,"x")</f>
        <v>4</v>
      </c>
      <c r="I23" s="254">
        <f>INDEX(Problématiques_compétences!$D$3:$BA$118,MATCH(Progression_Cycle4!I$4,Problématiques_compétences!$D$3:$D$118,0),19)</f>
        <v>0</v>
      </c>
      <c r="J23" s="254">
        <f>INDEX(Problématiques_compétences!$D$3:$BA$118,MATCH(Progression_Cycle4!J$4,Problématiques_compétences!$D$3:$D$118,0),19)</f>
        <v>0</v>
      </c>
      <c r="K23" s="254">
        <f>INDEX(Problématiques_compétences!$D$3:$BA$118,MATCH(Progression_Cycle4!K$4,Problématiques_compétences!$D$3:$D$118,0),19)</f>
        <v>0</v>
      </c>
      <c r="L23" s="254" t="str">
        <f>INDEX(Problématiques_compétences!$D$3:$BA$118,MATCH(Progression_Cycle4!L$4,Problématiques_compétences!$D$3:$D$118,0),19)</f>
        <v>x</v>
      </c>
      <c r="M23" s="254">
        <f>INDEX(Problématiques_compétences!$D$3:$BA$118,MATCH(Progression_Cycle4!M$4,Problématiques_compétences!$D$3:$D$118,0),19)</f>
        <v>0</v>
      </c>
      <c r="N23" s="254">
        <f>INDEX(Problématiques_compétences!$D$3:$BA$118,MATCH(Progression_Cycle4!N$4,Problématiques_compétences!$D$3:$D$118,0),19)</f>
        <v>0</v>
      </c>
      <c r="O23" s="254">
        <f>INDEX(Problématiques_compétences!$D$3:$BA$118,MATCH(Progression_Cycle4!O$4,Problématiques_compétences!$D$3:$D$118,0),19)</f>
        <v>0</v>
      </c>
      <c r="P23" s="254">
        <f>INDEX(Problématiques_compétences!$D$3:$BA$118,MATCH(Progression_Cycle4!P$4,Problématiques_compétences!$D$3:$D$118,0),19)</f>
        <v>0</v>
      </c>
      <c r="Q23" s="254" t="str">
        <f>INDEX(Problématiques_compétences!$D$3:$BA$118,MATCH(Progression_Cycle4!Q$4,Problématiques_compétences!$D$3:$D$118,0),19)</f>
        <v>x</v>
      </c>
      <c r="R23" s="254">
        <f>INDEX(Problématiques_compétences!$D$3:$BA$118,MATCH(Progression_Cycle4!R$4,Problématiques_compétences!$D$3:$D$118,0),19)</f>
        <v>0</v>
      </c>
      <c r="S23" s="254">
        <f>INDEX(Problématiques_compétences!$D$3:$BA$118,MATCH(Progression_Cycle4!S$4,Problématiques_compétences!$D$3:$D$118,0),19)</f>
        <v>0</v>
      </c>
      <c r="T23" s="254">
        <f>INDEX(Problématiques_compétences!$D$3:$BA$118,MATCH(Progression_Cycle4!T$4,Problématiques_compétences!$D$3:$D$118,0),19)</f>
        <v>0</v>
      </c>
      <c r="U23" s="254">
        <f>INDEX(Problématiques_compétences!$D$3:$BA$118,MATCH(Progression_Cycle4!U$4,Problématiques_compétences!$D$3:$D$118,0),19)</f>
        <v>0</v>
      </c>
      <c r="V23" s="254">
        <f>INDEX(Problématiques_compétences!$D$3:$BA$118,MATCH(Progression_Cycle4!V$4,Problématiques_compétences!$D$3:$D$118,0),19)</f>
        <v>0</v>
      </c>
      <c r="W23" s="254">
        <f>INDEX(Problématiques_compétences!$D$3:$BA$118,MATCH(Progression_Cycle4!W$4,Problématiques_compétences!$D$3:$D$118,0),19)</f>
        <v>0</v>
      </c>
      <c r="X23" s="254" t="str">
        <f>INDEX(Problématiques_compétences!$D$3:$BA$118,MATCH(Progression_Cycle4!X$4,Problématiques_compétences!$D$3:$D$118,0),19)</f>
        <v>x</v>
      </c>
      <c r="Y23" s="254">
        <f>INDEX(Problématiques_compétences!$D$3:$BA$118,MATCH(Progression_Cycle4!Y$4,Problématiques_compétences!$D$3:$D$118,0),19)</f>
        <v>0</v>
      </c>
      <c r="Z23" s="254">
        <f>INDEX(Problématiques_compétences!$D$3:$BA$118,MATCH(Progression_Cycle4!Z$4,Problématiques_compétences!$D$3:$D$118,0),19)</f>
        <v>0</v>
      </c>
      <c r="AA23" s="254" t="str">
        <f>INDEX(Problématiques_compétences!$D$3:$BA$118,MATCH(Progression_Cycle4!AA$4,Problématiques_compétences!$D$3:$D$118,0),19)</f>
        <v>x</v>
      </c>
      <c r="AB23" s="254">
        <f>INDEX(Problématiques_compétences!$D$3:$BA$118,MATCH(Progression_Cycle4!AB$4,Problématiques_compétences!$D$3:$D$118,0),19)</f>
        <v>0</v>
      </c>
      <c r="AC23" s="254">
        <f>INDEX(Problématiques_compétences!$D$3:$BA$118,MATCH(Progression_Cycle4!AC$4,Problématiques_compétences!$D$3:$D$118,0),19)</f>
        <v>0</v>
      </c>
      <c r="AD23" s="254">
        <f>INDEX(Problématiques_compétences!$D$3:$BA$118,MATCH(Progression_Cycle4!AD$4,Problématiques_compétences!$D$3:$D$118,0),19)</f>
        <v>0</v>
      </c>
      <c r="AE23" s="254">
        <f>INDEX(Problématiques_compétences!$D$3:$BA$118,MATCH(Progression_Cycle4!AE$4,Problématiques_compétences!$D$3:$D$118,0),19)</f>
        <v>0</v>
      </c>
      <c r="AF23" s="254">
        <f>INDEX(Problématiques_compétences!$D$3:$BA$118,MATCH(Progression_Cycle4!AF$4,Problématiques_compétences!$D$3:$D$118,0),19)</f>
        <v>0</v>
      </c>
      <c r="AG23" s="254">
        <f>INDEX(Problématiques_compétences!$D$3:$BA$118,MATCH(Progression_Cycle4!AG$4,Problématiques_compétences!$D$3:$D$118,0),19)</f>
        <v>0</v>
      </c>
      <c r="AH23" s="254">
        <f>INDEX(Problématiques_compétences!$D$3:$BA$118,MATCH(Progression_Cycle4!AH$4,Problématiques_compétences!$D$3:$D$118,0),19)</f>
        <v>0</v>
      </c>
      <c r="AI23" s="254">
        <f>INDEX(Problématiques_compétences!$D$3:$BA$118,MATCH(Progression_Cycle4!AI$4,Problématiques_compétences!$D$3:$D$118,0),19)</f>
        <v>0</v>
      </c>
      <c r="AJ23" s="254">
        <f>INDEX(Problématiques_compétences!$D$3:$BA$118,MATCH(Progression_Cycle4!AJ$4,Problématiques_compétences!$D$3:$D$118,0),19)</f>
        <v>0</v>
      </c>
      <c r="AK23" s="254">
        <f>INDEX(Problématiques_compétences!$D$3:$BA$118,MATCH(Progression_Cycle4!AK$4,Problématiques_compétences!$D$3:$D$118,0),19)</f>
        <v>0</v>
      </c>
      <c r="AL23" s="254">
        <f>INDEX(Problématiques_compétences!$D$3:$BA$118,MATCH(Progression_Cycle4!AL$4,Problématiques_compétences!$D$3:$D$118,0),19)</f>
        <v>0</v>
      </c>
    </row>
    <row r="24" spans="1:38" ht="30.75" thickBot="1">
      <c r="A24" s="834"/>
      <c r="B24" s="221" t="s">
        <v>200</v>
      </c>
      <c r="C24" s="222" t="s">
        <v>47</v>
      </c>
      <c r="D24" s="349" t="s">
        <v>197</v>
      </c>
      <c r="E24" s="347"/>
      <c r="F24" s="347"/>
      <c r="G24" s="348"/>
      <c r="H24" s="6">
        <f>COUNTIF(I24:AL24,"x")</f>
        <v>4</v>
      </c>
      <c r="I24" s="254">
        <f>INDEX(Problématiques_compétences!$D$3:$BA$118,MATCH(Progression_Cycle4!I$4,Problématiques_compétences!$D$3:$D$118,0),20)</f>
        <v>0</v>
      </c>
      <c r="J24" s="254">
        <f>INDEX(Problématiques_compétences!$D$3:$BA$118,MATCH(Progression_Cycle4!J$4,Problématiques_compétences!$D$3:$D$118,0),20)</f>
        <v>0</v>
      </c>
      <c r="K24" s="254">
        <f>INDEX(Problématiques_compétences!$D$3:$BA$118,MATCH(Progression_Cycle4!K$4,Problématiques_compétences!$D$3:$D$118,0),20)</f>
        <v>0</v>
      </c>
      <c r="L24" s="254" t="str">
        <f>INDEX(Problématiques_compétences!$D$3:$BA$118,MATCH(Progression_Cycle4!L$4,Problématiques_compétences!$D$3:$D$118,0),20)</f>
        <v>x</v>
      </c>
      <c r="M24" s="254">
        <f>INDEX(Problématiques_compétences!$D$3:$BA$118,MATCH(Progression_Cycle4!M$4,Problématiques_compétences!$D$3:$D$118,0),20)</f>
        <v>0</v>
      </c>
      <c r="N24" s="254">
        <f>INDEX(Problématiques_compétences!$D$3:$BA$118,MATCH(Progression_Cycle4!N$4,Problématiques_compétences!$D$3:$D$118,0),20)</f>
        <v>0</v>
      </c>
      <c r="O24" s="254">
        <f>INDEX(Problématiques_compétences!$D$3:$BA$118,MATCH(Progression_Cycle4!O$4,Problématiques_compétences!$D$3:$D$118,0),20)</f>
        <v>0</v>
      </c>
      <c r="P24" s="254" t="str">
        <f>INDEX(Problématiques_compétences!$D$3:$BA$118,MATCH(Progression_Cycle4!P$4,Problématiques_compétences!$D$3:$D$118,0),20)</f>
        <v>x</v>
      </c>
      <c r="Q24" s="254">
        <f>INDEX(Problématiques_compétences!$D$3:$BA$118,MATCH(Progression_Cycle4!Q$4,Problématiques_compétences!$D$3:$D$118,0),20)</f>
        <v>0</v>
      </c>
      <c r="R24" s="254">
        <f>INDEX(Problématiques_compétences!$D$3:$BA$118,MATCH(Progression_Cycle4!R$4,Problématiques_compétences!$D$3:$D$118,0),20)</f>
        <v>0</v>
      </c>
      <c r="S24" s="254">
        <f>INDEX(Problématiques_compétences!$D$3:$BA$118,MATCH(Progression_Cycle4!S$4,Problématiques_compétences!$D$3:$D$118,0),20)</f>
        <v>0</v>
      </c>
      <c r="T24" s="254">
        <f>INDEX(Problématiques_compétences!$D$3:$BA$118,MATCH(Progression_Cycle4!T$4,Problématiques_compétences!$D$3:$D$118,0),20)</f>
        <v>0</v>
      </c>
      <c r="U24" s="254">
        <f>INDEX(Problématiques_compétences!$D$3:$BA$118,MATCH(Progression_Cycle4!U$4,Problématiques_compétences!$D$3:$D$118,0),20)</f>
        <v>0</v>
      </c>
      <c r="V24" s="254">
        <f>INDEX(Problématiques_compétences!$D$3:$BA$118,MATCH(Progression_Cycle4!V$4,Problématiques_compétences!$D$3:$D$118,0),20)</f>
        <v>0</v>
      </c>
      <c r="W24" s="254">
        <f>INDEX(Problématiques_compétences!$D$3:$BA$118,MATCH(Progression_Cycle4!W$4,Problématiques_compétences!$D$3:$D$118,0),20)</f>
        <v>0</v>
      </c>
      <c r="X24" s="254">
        <f>INDEX(Problématiques_compétences!$D$3:$BA$118,MATCH(Progression_Cycle4!X$4,Problématiques_compétences!$D$3:$D$118,0),20)</f>
        <v>0</v>
      </c>
      <c r="Y24" s="254">
        <f>INDEX(Problématiques_compétences!$D$3:$BA$118,MATCH(Progression_Cycle4!Y$4,Problématiques_compétences!$D$3:$D$118,0),20)</f>
        <v>0</v>
      </c>
      <c r="Z24" s="254">
        <f>INDEX(Problématiques_compétences!$D$3:$BA$118,MATCH(Progression_Cycle4!Z$4,Problématiques_compétences!$D$3:$D$118,0),20)</f>
        <v>0</v>
      </c>
      <c r="AA24" s="254" t="str">
        <f>INDEX(Problématiques_compétences!$D$3:$BA$118,MATCH(Progression_Cycle4!AA$4,Problématiques_compétences!$D$3:$D$118,0),20)</f>
        <v>x</v>
      </c>
      <c r="AB24" s="254">
        <f>INDEX(Problématiques_compétences!$D$3:$BA$118,MATCH(Progression_Cycle4!AB$4,Problématiques_compétences!$D$3:$D$118,0),20)</f>
        <v>0</v>
      </c>
      <c r="AC24" s="254">
        <f>INDEX(Problématiques_compétences!$D$3:$BA$118,MATCH(Progression_Cycle4!AC$4,Problématiques_compétences!$D$3:$D$118,0),20)</f>
        <v>0</v>
      </c>
      <c r="AD24" s="254">
        <f>INDEX(Problématiques_compétences!$D$3:$BA$118,MATCH(Progression_Cycle4!AD$4,Problématiques_compétences!$D$3:$D$118,0),20)</f>
        <v>0</v>
      </c>
      <c r="AE24" s="254">
        <f>INDEX(Problématiques_compétences!$D$3:$BA$118,MATCH(Progression_Cycle4!AE$4,Problématiques_compétences!$D$3:$D$118,0),20)</f>
        <v>0</v>
      </c>
      <c r="AF24" s="254">
        <f>INDEX(Problématiques_compétences!$D$3:$BA$118,MATCH(Progression_Cycle4!AF$4,Problématiques_compétences!$D$3:$D$118,0),20)</f>
        <v>0</v>
      </c>
      <c r="AG24" s="254">
        <f>INDEX(Problématiques_compétences!$D$3:$BA$118,MATCH(Progression_Cycle4!AG$4,Problématiques_compétences!$D$3:$D$118,0),20)</f>
        <v>0</v>
      </c>
      <c r="AH24" s="254">
        <f>INDEX(Problématiques_compétences!$D$3:$BA$118,MATCH(Progression_Cycle4!AH$4,Problématiques_compétences!$D$3:$D$118,0),20)</f>
        <v>0</v>
      </c>
      <c r="AI24" s="254" t="str">
        <f>INDEX(Problématiques_compétences!$D$3:$BA$118,MATCH(Progression_Cycle4!AI$4,Problématiques_compétences!$D$3:$D$118,0),20)</f>
        <v>x</v>
      </c>
      <c r="AJ24" s="254">
        <f>INDEX(Problématiques_compétences!$D$3:$BA$118,MATCH(Progression_Cycle4!AJ$4,Problématiques_compétences!$D$3:$D$118,0),20)</f>
        <v>0</v>
      </c>
      <c r="AK24" s="254">
        <f>INDEX(Problématiques_compétences!$D$3:$BA$118,MATCH(Progression_Cycle4!AK$4,Problématiques_compétences!$D$3:$D$118,0),20)</f>
        <v>0</v>
      </c>
      <c r="AL24" s="254">
        <f>INDEX(Problématiques_compétences!$D$3:$BA$118,MATCH(Progression_Cycle4!AL$4,Problématiques_compétences!$D$3:$D$118,0),20)</f>
        <v>0</v>
      </c>
    </row>
    <row r="25" spans="1:38" ht="26.25" customHeight="1">
      <c r="A25" s="225" t="s">
        <v>198</v>
      </c>
      <c r="B25" s="215">
        <v>4</v>
      </c>
      <c r="C25" s="216" t="s">
        <v>48</v>
      </c>
      <c r="D25" s="249"/>
      <c r="E25" s="250"/>
      <c r="F25" s="250"/>
      <c r="G25" s="251"/>
      <c r="H25" s="252"/>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53"/>
      <c r="AG25" s="253"/>
      <c r="AH25" s="253"/>
      <c r="AI25" s="253"/>
      <c r="AJ25" s="253"/>
      <c r="AK25" s="253"/>
      <c r="AL25" s="253"/>
    </row>
    <row r="26" spans="1:38" ht="30">
      <c r="A26" s="226"/>
      <c r="B26" s="227" t="s">
        <v>195</v>
      </c>
      <c r="C26" s="223" t="s">
        <v>290</v>
      </c>
      <c r="D26" s="346"/>
      <c r="E26" s="345" t="s">
        <v>162</v>
      </c>
      <c r="F26" s="342" t="s">
        <v>120</v>
      </c>
      <c r="G26" s="348"/>
      <c r="H26" s="6">
        <f>COUNTIF(I26:AL26,"x")</f>
        <v>7</v>
      </c>
      <c r="I26" s="254">
        <f>INDEX(Problématiques_compétences!$D$3:$BA$118,MATCH(Progression_Cycle4!I$4,Problématiques_compétences!$D$3:$D$118,0),21)</f>
        <v>0</v>
      </c>
      <c r="J26" s="254">
        <f>INDEX(Problématiques_compétences!$D$3:$BA$118,MATCH(Progression_Cycle4!J$4,Problématiques_compétences!$D$3:$D$118,0),21)</f>
        <v>0</v>
      </c>
      <c r="K26" s="254">
        <f>INDEX(Problématiques_compétences!$D$3:$BA$118,MATCH(Progression_Cycle4!K$4,Problématiques_compétences!$D$3:$D$118,0),21)</f>
        <v>0</v>
      </c>
      <c r="L26" s="254">
        <f>INDEX(Problématiques_compétences!$D$3:$BA$118,MATCH(Progression_Cycle4!L$4,Problématiques_compétences!$D$3:$D$118,0),21)</f>
        <v>0</v>
      </c>
      <c r="M26" s="254">
        <f>INDEX(Problématiques_compétences!$D$3:$BA$118,MATCH(Progression_Cycle4!M$4,Problématiques_compétences!$D$3:$D$118,0),21)</f>
        <v>0</v>
      </c>
      <c r="N26" s="254">
        <f>INDEX(Problématiques_compétences!$D$3:$BA$118,MATCH(Progression_Cycle4!N$4,Problématiques_compétences!$D$3:$D$118,0),21)</f>
        <v>0</v>
      </c>
      <c r="O26" s="254">
        <f>INDEX(Problématiques_compétences!$D$3:$BA$118,MATCH(Progression_Cycle4!O$4,Problématiques_compétences!$D$3:$D$118,0),21)</f>
        <v>0</v>
      </c>
      <c r="P26" s="254">
        <f>INDEX(Problématiques_compétences!$D$3:$BA$118,MATCH(Progression_Cycle4!P$4,Problématiques_compétences!$D$3:$D$118,0),21)</f>
        <v>0</v>
      </c>
      <c r="Q26" s="254">
        <f>INDEX(Problématiques_compétences!$D$3:$BA$118,MATCH(Progression_Cycle4!Q$4,Problématiques_compétences!$D$3:$D$118,0),21)</f>
        <v>0</v>
      </c>
      <c r="R26" s="254">
        <f>INDEX(Problématiques_compétences!$D$3:$BA$118,MATCH(Progression_Cycle4!R$4,Problématiques_compétences!$D$3:$D$118,0),21)</f>
        <v>0</v>
      </c>
      <c r="S26" s="254">
        <f>INDEX(Problématiques_compétences!$D$3:$BA$118,MATCH(Progression_Cycle4!S$4,Problématiques_compétences!$D$3:$D$118,0),21)</f>
        <v>0</v>
      </c>
      <c r="T26" s="254">
        <f>INDEX(Problématiques_compétences!$D$3:$BA$118,MATCH(Progression_Cycle4!T$4,Problématiques_compétences!$D$3:$D$118,0),21)</f>
        <v>0</v>
      </c>
      <c r="U26" s="254" t="str">
        <f>INDEX(Problématiques_compétences!$D$3:$BA$118,MATCH(Progression_Cycle4!U$4,Problématiques_compétences!$D$3:$D$118,0),21)</f>
        <v>x</v>
      </c>
      <c r="V26" s="254">
        <f>INDEX(Problématiques_compétences!$D$3:$BA$118,MATCH(Progression_Cycle4!V$4,Problématiques_compétences!$D$3:$D$118,0),21)</f>
        <v>0</v>
      </c>
      <c r="W26" s="254">
        <f>INDEX(Problématiques_compétences!$D$3:$BA$118,MATCH(Progression_Cycle4!W$4,Problématiques_compétences!$D$3:$D$118,0),21)</f>
        <v>0</v>
      </c>
      <c r="X26" s="254">
        <f>INDEX(Problématiques_compétences!$D$3:$BA$118,MATCH(Progression_Cycle4!X$4,Problématiques_compétences!$D$3:$D$118,0),21)</f>
        <v>0</v>
      </c>
      <c r="Y26" s="254">
        <f>INDEX(Problématiques_compétences!$D$3:$BA$118,MATCH(Progression_Cycle4!Y$4,Problématiques_compétences!$D$3:$D$118,0),21)</f>
        <v>0</v>
      </c>
      <c r="Z26" s="254">
        <f>INDEX(Problématiques_compétences!$D$3:$BA$118,MATCH(Progression_Cycle4!Z$4,Problématiques_compétences!$D$3:$D$118,0),21)</f>
        <v>0</v>
      </c>
      <c r="AA26" s="254">
        <f>INDEX(Problématiques_compétences!$D$3:$BA$118,MATCH(Progression_Cycle4!AA$4,Problématiques_compétences!$D$3:$D$118,0),21)</f>
        <v>0</v>
      </c>
      <c r="AB26" s="254" t="str">
        <f>INDEX(Problématiques_compétences!$D$3:$BA$118,MATCH(Progression_Cycle4!AB$4,Problématiques_compétences!$D$3:$D$118,0),21)</f>
        <v>x</v>
      </c>
      <c r="AC26" s="254" t="str">
        <f>INDEX(Problématiques_compétences!$D$3:$BA$118,MATCH(Progression_Cycle4!AC$4,Problématiques_compétences!$D$3:$D$118,0),21)</f>
        <v>x</v>
      </c>
      <c r="AD26" s="254">
        <f>INDEX(Problématiques_compétences!$D$3:$BA$118,MATCH(Progression_Cycle4!AD$4,Problématiques_compétences!$D$3:$D$118,0),21)</f>
        <v>0</v>
      </c>
      <c r="AE26" s="254" t="str">
        <f>INDEX(Problématiques_compétences!$D$3:$BA$118,MATCH(Progression_Cycle4!AE$4,Problématiques_compétences!$D$3:$D$118,0),21)</f>
        <v>x</v>
      </c>
      <c r="AF26" s="254">
        <f>INDEX(Problématiques_compétences!$D$3:$BA$118,MATCH(Progression_Cycle4!AF$4,Problématiques_compétences!$D$3:$D$118,0),21)</f>
        <v>0</v>
      </c>
      <c r="AG26" s="254">
        <f>INDEX(Problématiques_compétences!$D$3:$BA$118,MATCH(Progression_Cycle4!AG$4,Problématiques_compétences!$D$3:$D$118,0),21)</f>
        <v>0</v>
      </c>
      <c r="AH26" s="254">
        <f>INDEX(Problématiques_compétences!$D$3:$BA$118,MATCH(Progression_Cycle4!AH$4,Problématiques_compétences!$D$3:$D$118,0),21)</f>
        <v>0</v>
      </c>
      <c r="AI26" s="254">
        <f>INDEX(Problématiques_compétences!$D$3:$BA$118,MATCH(Progression_Cycle4!AI$4,Problématiques_compétences!$D$3:$D$118,0),21)</f>
        <v>0</v>
      </c>
      <c r="AJ26" s="254" t="str">
        <f>INDEX(Problématiques_compétences!$D$3:$BA$118,MATCH(Progression_Cycle4!AJ$4,Problématiques_compétences!$D$3:$D$118,0),21)</f>
        <v>x</v>
      </c>
      <c r="AK26" s="254" t="str">
        <f>INDEX(Problématiques_compétences!$D$3:$BA$118,MATCH(Progression_Cycle4!AK$4,Problématiques_compétences!$D$3:$D$118,0),21)</f>
        <v>x</v>
      </c>
      <c r="AL26" s="254" t="str">
        <f>INDEX(Problématiques_compétences!$D$3:$BA$118,MATCH(Progression_Cycle4!AL$4,Problématiques_compétences!$D$3:$D$118,0),21)</f>
        <v>x</v>
      </c>
    </row>
    <row r="27" spans="1:38" ht="30.75" thickBot="1">
      <c r="A27" s="228"/>
      <c r="B27" s="229" t="s">
        <v>194</v>
      </c>
      <c r="C27" s="222" t="s">
        <v>291</v>
      </c>
      <c r="D27" s="346"/>
      <c r="E27" s="347"/>
      <c r="F27" s="347"/>
      <c r="G27" s="350" t="s">
        <v>90</v>
      </c>
      <c r="H27" s="6">
        <f>COUNTIF(I27:AL27,"x")</f>
        <v>6</v>
      </c>
      <c r="I27" s="254">
        <f>INDEX(Problématiques_compétences!$D$3:$BA$118,MATCH(Progression_Cycle4!I$4,Problématiques_compétences!$D$3:$D$118,0),22)</f>
        <v>0</v>
      </c>
      <c r="J27" s="254">
        <f>INDEX(Problématiques_compétences!$D$3:$BA$118,MATCH(Progression_Cycle4!J$4,Problématiques_compétences!$D$3:$D$118,0),22)</f>
        <v>0</v>
      </c>
      <c r="K27" s="254">
        <f>INDEX(Problématiques_compétences!$D$3:$BA$118,MATCH(Progression_Cycle4!K$4,Problématiques_compétences!$D$3:$D$118,0),22)</f>
        <v>0</v>
      </c>
      <c r="L27" s="254">
        <f>INDEX(Problématiques_compétences!$D$3:$BA$118,MATCH(Progression_Cycle4!L$4,Problématiques_compétences!$D$3:$D$118,0),22)</f>
        <v>0</v>
      </c>
      <c r="M27" s="254" t="str">
        <f>INDEX(Problématiques_compétences!$D$3:$BA$118,MATCH(Progression_Cycle4!M$4,Problématiques_compétences!$D$3:$D$118,0),22)</f>
        <v>x</v>
      </c>
      <c r="N27" s="254">
        <f>INDEX(Problématiques_compétences!$D$3:$BA$118,MATCH(Progression_Cycle4!N$4,Problématiques_compétences!$D$3:$D$118,0),22)</f>
        <v>0</v>
      </c>
      <c r="O27" s="254">
        <f>INDEX(Problématiques_compétences!$D$3:$BA$118,MATCH(Progression_Cycle4!O$4,Problématiques_compétences!$D$3:$D$118,0),22)</f>
        <v>0</v>
      </c>
      <c r="P27" s="254">
        <f>INDEX(Problématiques_compétences!$D$3:$BA$118,MATCH(Progression_Cycle4!P$4,Problématiques_compétences!$D$3:$D$118,0),22)</f>
        <v>0</v>
      </c>
      <c r="Q27" s="254">
        <f>INDEX(Problématiques_compétences!$D$3:$BA$118,MATCH(Progression_Cycle4!Q$4,Problématiques_compétences!$D$3:$D$118,0),22)</f>
        <v>0</v>
      </c>
      <c r="R27" s="254" t="str">
        <f>INDEX(Problématiques_compétences!$D$3:$BA$118,MATCH(Progression_Cycle4!R$4,Problématiques_compétences!$D$3:$D$118,0),22)</f>
        <v>x</v>
      </c>
      <c r="S27" s="254" t="str">
        <f>INDEX(Problématiques_compétences!$D$3:$BA$118,MATCH(Progression_Cycle4!S$4,Problématiques_compétences!$D$3:$D$118,0),22)</f>
        <v>x</v>
      </c>
      <c r="T27" s="254">
        <f>INDEX(Problématiques_compétences!$D$3:$BA$118,MATCH(Progression_Cycle4!T$4,Problématiques_compétences!$D$3:$D$118,0),22)</f>
        <v>0</v>
      </c>
      <c r="U27" s="254">
        <f>INDEX(Problématiques_compétences!$D$3:$BA$118,MATCH(Progression_Cycle4!U$4,Problématiques_compétences!$D$3:$D$118,0),22)</f>
        <v>0</v>
      </c>
      <c r="V27" s="254">
        <f>INDEX(Problématiques_compétences!$D$3:$BA$118,MATCH(Progression_Cycle4!V$4,Problématiques_compétences!$D$3:$D$118,0),22)</f>
        <v>0</v>
      </c>
      <c r="W27" s="254" t="str">
        <f>INDEX(Problématiques_compétences!$D$3:$BA$118,MATCH(Progression_Cycle4!W$4,Problématiques_compétences!$D$3:$D$118,0),22)</f>
        <v>x</v>
      </c>
      <c r="X27" s="254">
        <f>INDEX(Problématiques_compétences!$D$3:$BA$118,MATCH(Progression_Cycle4!X$4,Problématiques_compétences!$D$3:$D$118,0),22)</f>
        <v>0</v>
      </c>
      <c r="Y27" s="254">
        <f>INDEX(Problématiques_compétences!$D$3:$BA$118,MATCH(Progression_Cycle4!Y$4,Problématiques_compétences!$D$3:$D$118,0),22)</f>
        <v>0</v>
      </c>
      <c r="Z27" s="254">
        <f>INDEX(Problématiques_compétences!$D$3:$BA$118,MATCH(Progression_Cycle4!Z$4,Problématiques_compétences!$D$3:$D$118,0),22)</f>
        <v>0</v>
      </c>
      <c r="AA27" s="254">
        <f>INDEX(Problématiques_compétences!$D$3:$BA$118,MATCH(Progression_Cycle4!AA$4,Problématiques_compétences!$D$3:$D$118,0),22)</f>
        <v>0</v>
      </c>
      <c r="AB27" s="254">
        <f>INDEX(Problématiques_compétences!$D$3:$BA$118,MATCH(Progression_Cycle4!AB$4,Problématiques_compétences!$D$3:$D$118,0),22)</f>
        <v>0</v>
      </c>
      <c r="AC27" s="254">
        <f>INDEX(Problématiques_compétences!$D$3:$BA$118,MATCH(Progression_Cycle4!AC$4,Problématiques_compétences!$D$3:$D$118,0),22)</f>
        <v>0</v>
      </c>
      <c r="AD27" s="254">
        <f>INDEX(Problématiques_compétences!$D$3:$BA$118,MATCH(Progression_Cycle4!AD$4,Problématiques_compétences!$D$3:$D$118,0),22)</f>
        <v>0</v>
      </c>
      <c r="AE27" s="254">
        <f>INDEX(Problématiques_compétences!$D$3:$BA$118,MATCH(Progression_Cycle4!AE$4,Problématiques_compétences!$D$3:$D$118,0),22)</f>
        <v>0</v>
      </c>
      <c r="AF27" s="254" t="str">
        <f>INDEX(Problématiques_compétences!$D$3:$BA$118,MATCH(Progression_Cycle4!AF$4,Problématiques_compétences!$D$3:$D$118,0),22)</f>
        <v>x</v>
      </c>
      <c r="AG27" s="254">
        <f>INDEX(Problématiques_compétences!$D$3:$BA$118,MATCH(Progression_Cycle4!AG$4,Problématiques_compétences!$D$3:$D$118,0),22)</f>
        <v>0</v>
      </c>
      <c r="AH27" s="254">
        <f>INDEX(Problématiques_compétences!$D$3:$BA$118,MATCH(Progression_Cycle4!AH$4,Problématiques_compétences!$D$3:$D$118,0),22)</f>
        <v>0</v>
      </c>
      <c r="AI27" s="254">
        <f>INDEX(Problématiques_compétences!$D$3:$BA$118,MATCH(Progression_Cycle4!AI$4,Problématiques_compétences!$D$3:$D$118,0),22)</f>
        <v>0</v>
      </c>
      <c r="AJ27" s="254">
        <f>INDEX(Problématiques_compétences!$D$3:$BA$118,MATCH(Progression_Cycle4!AJ$4,Problématiques_compétences!$D$3:$D$118,0),22)</f>
        <v>0</v>
      </c>
      <c r="AK27" s="254">
        <f>INDEX(Problématiques_compétences!$D$3:$BA$118,MATCH(Progression_Cycle4!AK$4,Problématiques_compétences!$D$3:$D$118,0),22)</f>
        <v>0</v>
      </c>
      <c r="AL27" s="254" t="str">
        <f>INDEX(Problématiques_compétences!$D$3:$BA$118,MATCH(Progression_Cycle4!AL$4,Problématiques_compétences!$D$3:$D$118,0),22)</f>
        <v>x</v>
      </c>
    </row>
    <row r="28" spans="1:38">
      <c r="A28" s="678" t="s">
        <v>191</v>
      </c>
      <c r="B28" s="215">
        <v>5</v>
      </c>
      <c r="C28" s="216" t="s">
        <v>49</v>
      </c>
      <c r="D28" s="827"/>
      <c r="E28" s="828"/>
      <c r="F28" s="828"/>
      <c r="G28" s="828"/>
      <c r="H28" s="828"/>
      <c r="I28" s="828"/>
      <c r="J28" s="828"/>
      <c r="K28" s="828"/>
      <c r="L28" s="828"/>
      <c r="M28" s="828"/>
      <c r="N28" s="828"/>
      <c r="O28" s="828"/>
      <c r="P28" s="828"/>
      <c r="Q28" s="828"/>
      <c r="R28" s="828"/>
      <c r="S28" s="828"/>
      <c r="T28" s="828"/>
      <c r="U28" s="828"/>
      <c r="V28" s="828"/>
      <c r="W28" s="828"/>
      <c r="X28" s="828"/>
      <c r="Y28" s="828"/>
      <c r="Z28" s="828"/>
      <c r="AA28" s="828"/>
      <c r="AB28" s="828"/>
      <c r="AC28" s="828"/>
      <c r="AD28" s="828"/>
      <c r="AE28" s="828"/>
      <c r="AF28" s="828"/>
      <c r="AG28" s="828"/>
      <c r="AH28" s="828"/>
      <c r="AI28" s="828"/>
      <c r="AJ28" s="828"/>
      <c r="AK28" s="828"/>
      <c r="AL28" s="829"/>
    </row>
    <row r="29" spans="1:38">
      <c r="A29" s="833"/>
      <c r="B29" s="217" t="s">
        <v>188</v>
      </c>
      <c r="C29" s="371" t="s">
        <v>292</v>
      </c>
      <c r="D29" s="346"/>
      <c r="E29" s="347"/>
      <c r="F29" s="342" t="s">
        <v>105</v>
      </c>
      <c r="G29" s="348"/>
      <c r="H29" s="6">
        <f>COUNTIF(I29:AL29,"x")</f>
        <v>5</v>
      </c>
      <c r="I29" s="254" t="str">
        <f>INDEX(Problématiques_compétences!$D$3:$BA$118,MATCH(Progression_Cycle4!I$4,Problématiques_compétences!$D$3:$D$118,0),23)</f>
        <v>x</v>
      </c>
      <c r="J29" s="254">
        <f>INDEX(Problématiques_compétences!$D$3:$BA$118,MATCH(Progression_Cycle4!J$4,Problématiques_compétences!$D$3:$D$118,0),23)</f>
        <v>0</v>
      </c>
      <c r="K29" s="254">
        <f>INDEX(Problématiques_compétences!$D$3:$BA$118,MATCH(Progression_Cycle4!K$4,Problématiques_compétences!$D$3:$D$118,0),23)</f>
        <v>0</v>
      </c>
      <c r="L29" s="254">
        <f>INDEX(Problématiques_compétences!$D$3:$BA$118,MATCH(Progression_Cycle4!L$4,Problématiques_compétences!$D$3:$D$118,0),23)</f>
        <v>0</v>
      </c>
      <c r="M29" s="254">
        <f>INDEX(Problématiques_compétences!$D$3:$BA$118,MATCH(Progression_Cycle4!M$4,Problématiques_compétences!$D$3:$D$118,0),23)</f>
        <v>0</v>
      </c>
      <c r="N29" s="254">
        <f>INDEX(Problématiques_compétences!$D$3:$BA$118,MATCH(Progression_Cycle4!N$4,Problématiques_compétences!$D$3:$D$118,0),23)</f>
        <v>0</v>
      </c>
      <c r="O29" s="254">
        <f>INDEX(Problématiques_compétences!$D$3:$BA$118,MATCH(Progression_Cycle4!O$4,Problématiques_compétences!$D$3:$D$118,0),23)</f>
        <v>0</v>
      </c>
      <c r="P29" s="254">
        <f>INDEX(Problématiques_compétences!$D$3:$BA$118,MATCH(Progression_Cycle4!P$4,Problématiques_compétences!$D$3:$D$118,0),23)</f>
        <v>0</v>
      </c>
      <c r="Q29" s="254" t="str">
        <f>INDEX(Problématiques_compétences!$D$3:$BA$118,MATCH(Progression_Cycle4!Q$4,Problématiques_compétences!$D$3:$D$118,0),23)</f>
        <v>x</v>
      </c>
      <c r="R29" s="254">
        <f>INDEX(Problématiques_compétences!$D$3:$BA$118,MATCH(Progression_Cycle4!R$4,Problématiques_compétences!$D$3:$D$118,0),23)</f>
        <v>0</v>
      </c>
      <c r="S29" s="254">
        <f>INDEX(Problématiques_compétences!$D$3:$BA$118,MATCH(Progression_Cycle4!S$4,Problématiques_compétences!$D$3:$D$118,0),23)</f>
        <v>0</v>
      </c>
      <c r="T29" s="254">
        <f>INDEX(Problématiques_compétences!$D$3:$BA$118,MATCH(Progression_Cycle4!T$4,Problématiques_compétences!$D$3:$D$118,0),23)</f>
        <v>0</v>
      </c>
      <c r="U29" s="254">
        <f>INDEX(Problématiques_compétences!$D$3:$BA$118,MATCH(Progression_Cycle4!U$4,Problématiques_compétences!$D$3:$D$118,0),23)</f>
        <v>0</v>
      </c>
      <c r="V29" s="254">
        <f>INDEX(Problématiques_compétences!$D$3:$BA$118,MATCH(Progression_Cycle4!V$4,Problématiques_compétences!$D$3:$D$118,0),23)</f>
        <v>0</v>
      </c>
      <c r="W29" s="254">
        <f>INDEX(Problématiques_compétences!$D$3:$BA$118,MATCH(Progression_Cycle4!W$4,Problématiques_compétences!$D$3:$D$118,0),23)</f>
        <v>0</v>
      </c>
      <c r="X29" s="254" t="str">
        <f>INDEX(Problématiques_compétences!$D$3:$BA$118,MATCH(Progression_Cycle4!X$4,Problématiques_compétences!$D$3:$D$118,0),23)</f>
        <v>x</v>
      </c>
      <c r="Y29" s="254">
        <f>INDEX(Problématiques_compétences!$D$3:$BA$118,MATCH(Progression_Cycle4!Y$4,Problématiques_compétences!$D$3:$D$118,0),23)</f>
        <v>0</v>
      </c>
      <c r="Z29" s="254">
        <f>INDEX(Problématiques_compétences!$D$3:$BA$118,MATCH(Progression_Cycle4!Z$4,Problématiques_compétences!$D$3:$D$118,0),23)</f>
        <v>0</v>
      </c>
      <c r="AA29" s="254">
        <f>INDEX(Problématiques_compétences!$D$3:$BA$118,MATCH(Progression_Cycle4!AA$4,Problématiques_compétences!$D$3:$D$118,0),23)</f>
        <v>0</v>
      </c>
      <c r="AB29" s="254" t="str">
        <f>INDEX(Problématiques_compétences!$D$3:$BA$118,MATCH(Progression_Cycle4!AB$4,Problématiques_compétences!$D$3:$D$118,0),23)</f>
        <v>x</v>
      </c>
      <c r="AC29" s="254">
        <f>INDEX(Problématiques_compétences!$D$3:$BA$118,MATCH(Progression_Cycle4!AC$4,Problématiques_compétences!$D$3:$D$118,0),23)</f>
        <v>0</v>
      </c>
      <c r="AD29" s="254" t="str">
        <f>INDEX(Problématiques_compétences!$D$3:$BA$118,MATCH(Progression_Cycle4!AD$4,Problématiques_compétences!$D$3:$D$118,0),23)</f>
        <v>x</v>
      </c>
      <c r="AE29" s="254">
        <f>INDEX(Problématiques_compétences!$D$3:$BA$118,MATCH(Progression_Cycle4!AE$4,Problématiques_compétences!$D$3:$D$118,0),23)</f>
        <v>0</v>
      </c>
      <c r="AF29" s="254">
        <f>INDEX(Problématiques_compétences!$D$3:$BA$118,MATCH(Progression_Cycle4!AF$4,Problématiques_compétences!$D$3:$D$118,0),23)</f>
        <v>0</v>
      </c>
      <c r="AG29" s="254">
        <f>INDEX(Problématiques_compétences!$D$3:$BA$118,MATCH(Progression_Cycle4!AG$4,Problématiques_compétences!$D$3:$D$118,0),23)</f>
        <v>0</v>
      </c>
      <c r="AH29" s="254">
        <f>INDEX(Problématiques_compétences!$D$3:$BA$118,MATCH(Progression_Cycle4!AH$4,Problématiques_compétences!$D$3:$D$118,0),23)</f>
        <v>0</v>
      </c>
      <c r="AI29" s="254">
        <f>INDEX(Problématiques_compétences!$D$3:$BA$118,MATCH(Progression_Cycle4!AI$4,Problématiques_compétences!$D$3:$D$118,0),23)</f>
        <v>0</v>
      </c>
      <c r="AJ29" s="254">
        <f>INDEX(Problématiques_compétences!$D$3:$BA$118,MATCH(Progression_Cycle4!AJ$4,Problématiques_compétences!$D$3:$D$118,0),23)</f>
        <v>0</v>
      </c>
      <c r="AK29" s="254">
        <f>INDEX(Problématiques_compétences!$D$3:$BA$118,MATCH(Progression_Cycle4!AK$4,Problématiques_compétences!$D$3:$D$118,0),23)</f>
        <v>0</v>
      </c>
      <c r="AL29" s="254">
        <f>INDEX(Problématiques_compétences!$D$3:$BA$118,MATCH(Progression_Cycle4!AL$4,Problématiques_compétences!$D$3:$D$118,0),23)</f>
        <v>0</v>
      </c>
    </row>
    <row r="30" spans="1:38">
      <c r="A30" s="833"/>
      <c r="B30" s="217" t="s">
        <v>187</v>
      </c>
      <c r="C30" s="223" t="s">
        <v>50</v>
      </c>
      <c r="D30" s="349" t="s">
        <v>186</v>
      </c>
      <c r="E30" s="347"/>
      <c r="F30" s="347"/>
      <c r="G30" s="348"/>
      <c r="H30" s="6">
        <f>COUNTIF(I30:AL30,"x")</f>
        <v>1</v>
      </c>
      <c r="I30" s="254">
        <f>INDEX(Problématiques_compétences!$D$3:$BA$118,MATCH(Progression_Cycle4!I$4,Problématiques_compétences!$D$3:$D$118,0),24)</f>
        <v>0</v>
      </c>
      <c r="J30" s="254">
        <f>INDEX(Problématiques_compétences!$D$3:$BA$118,MATCH(Progression_Cycle4!J$4,Problématiques_compétences!$D$3:$D$118,0),24)</f>
        <v>0</v>
      </c>
      <c r="K30" s="254">
        <f>INDEX(Problématiques_compétences!$D$3:$BA$118,MATCH(Progression_Cycle4!K$4,Problématiques_compétences!$D$3:$D$118,0),24)</f>
        <v>0</v>
      </c>
      <c r="L30" s="254">
        <f>INDEX(Problématiques_compétences!$D$3:$BA$118,MATCH(Progression_Cycle4!L$4,Problématiques_compétences!$D$3:$D$118,0),24)</f>
        <v>0</v>
      </c>
      <c r="M30" s="254">
        <f>INDEX(Problématiques_compétences!$D$3:$BA$118,MATCH(Progression_Cycle4!M$4,Problématiques_compétences!$D$3:$D$118,0),24)</f>
        <v>0</v>
      </c>
      <c r="N30" s="254">
        <f>INDEX(Problématiques_compétences!$D$3:$BA$118,MATCH(Progression_Cycle4!N$4,Problématiques_compétences!$D$3:$D$118,0),24)</f>
        <v>0</v>
      </c>
      <c r="O30" s="254">
        <f>INDEX(Problématiques_compétences!$D$3:$BA$118,MATCH(Progression_Cycle4!O$4,Problématiques_compétences!$D$3:$D$118,0),24)</f>
        <v>0</v>
      </c>
      <c r="P30" s="254">
        <f>INDEX(Problématiques_compétences!$D$3:$BA$118,MATCH(Progression_Cycle4!P$4,Problématiques_compétences!$D$3:$D$118,0),24)</f>
        <v>0</v>
      </c>
      <c r="Q30" s="254">
        <f>INDEX(Problématiques_compétences!$D$3:$BA$118,MATCH(Progression_Cycle4!Q$4,Problématiques_compétences!$D$3:$D$118,0),24)</f>
        <v>0</v>
      </c>
      <c r="R30" s="254">
        <f>INDEX(Problématiques_compétences!$D$3:$BA$118,MATCH(Progression_Cycle4!R$4,Problématiques_compétences!$D$3:$D$118,0),24)</f>
        <v>0</v>
      </c>
      <c r="S30" s="254">
        <f>INDEX(Problématiques_compétences!$D$3:$BA$118,MATCH(Progression_Cycle4!S$4,Problématiques_compétences!$D$3:$D$118,0),24)</f>
        <v>0</v>
      </c>
      <c r="T30" s="254">
        <f>INDEX(Problématiques_compétences!$D$3:$BA$118,MATCH(Progression_Cycle4!T$4,Problématiques_compétences!$D$3:$D$118,0),24)</f>
        <v>0</v>
      </c>
      <c r="U30" s="254">
        <f>INDEX(Problématiques_compétences!$D$3:$BA$118,MATCH(Progression_Cycle4!U$4,Problématiques_compétences!$D$3:$D$118,0),24)</f>
        <v>0</v>
      </c>
      <c r="V30" s="254">
        <f>INDEX(Problématiques_compétences!$D$3:$BA$118,MATCH(Progression_Cycle4!V$4,Problématiques_compétences!$D$3:$D$118,0),24)</f>
        <v>0</v>
      </c>
      <c r="W30" s="254">
        <f>INDEX(Problématiques_compétences!$D$3:$BA$118,MATCH(Progression_Cycle4!W$4,Problématiques_compétences!$D$3:$D$118,0),24)</f>
        <v>0</v>
      </c>
      <c r="X30" s="254">
        <f>INDEX(Problématiques_compétences!$D$3:$BA$118,MATCH(Progression_Cycle4!X$4,Problématiques_compétences!$D$3:$D$118,0),24)</f>
        <v>0</v>
      </c>
      <c r="Y30" s="254" t="str">
        <f>INDEX(Problématiques_compétences!$D$3:$BA$118,MATCH(Progression_Cycle4!Y$4,Problématiques_compétences!$D$3:$D$118,0),24)</f>
        <v>x</v>
      </c>
      <c r="Z30" s="254">
        <f>INDEX(Problématiques_compétences!$D$3:$BA$118,MATCH(Progression_Cycle4!Z$4,Problématiques_compétences!$D$3:$D$118,0),24)</f>
        <v>0</v>
      </c>
      <c r="AA30" s="254">
        <f>INDEX(Problématiques_compétences!$D$3:$BA$118,MATCH(Progression_Cycle4!AA$4,Problématiques_compétences!$D$3:$D$118,0),24)</f>
        <v>0</v>
      </c>
      <c r="AB30" s="254">
        <f>INDEX(Problématiques_compétences!$D$3:$BA$118,MATCH(Progression_Cycle4!AB$4,Problématiques_compétences!$D$3:$D$118,0),24)</f>
        <v>0</v>
      </c>
      <c r="AC30" s="254">
        <f>INDEX(Problématiques_compétences!$D$3:$BA$118,MATCH(Progression_Cycle4!AC$4,Problématiques_compétences!$D$3:$D$118,0),24)</f>
        <v>0</v>
      </c>
      <c r="AD30" s="254">
        <f>INDEX(Problématiques_compétences!$D$3:$BA$118,MATCH(Progression_Cycle4!AD$4,Problématiques_compétences!$D$3:$D$118,0),24)</f>
        <v>0</v>
      </c>
      <c r="AE30" s="254">
        <f>INDEX(Problématiques_compétences!$D$3:$BA$118,MATCH(Progression_Cycle4!AE$4,Problématiques_compétences!$D$3:$D$118,0),24)</f>
        <v>0</v>
      </c>
      <c r="AF30" s="254">
        <f>INDEX(Problématiques_compétences!$D$3:$BA$118,MATCH(Progression_Cycle4!AF$4,Problématiques_compétences!$D$3:$D$118,0),24)</f>
        <v>0</v>
      </c>
      <c r="AG30" s="254">
        <f>INDEX(Problématiques_compétences!$D$3:$BA$118,MATCH(Progression_Cycle4!AG$4,Problématiques_compétences!$D$3:$D$118,0),24)</f>
        <v>0</v>
      </c>
      <c r="AH30" s="254">
        <f>INDEX(Problématiques_compétences!$D$3:$BA$118,MATCH(Progression_Cycle4!AH$4,Problématiques_compétences!$D$3:$D$118,0),24)</f>
        <v>0</v>
      </c>
      <c r="AI30" s="254">
        <f>INDEX(Problématiques_compétences!$D$3:$BA$118,MATCH(Progression_Cycle4!AI$4,Problématiques_compétences!$D$3:$D$118,0),24)</f>
        <v>0</v>
      </c>
      <c r="AJ30" s="254">
        <f>INDEX(Problématiques_compétences!$D$3:$BA$118,MATCH(Progression_Cycle4!AJ$4,Problématiques_compétences!$D$3:$D$118,0),24)</f>
        <v>0</v>
      </c>
      <c r="AK30" s="254">
        <f>INDEX(Problématiques_compétences!$D$3:$BA$118,MATCH(Progression_Cycle4!AK$4,Problématiques_compétences!$D$3:$D$118,0),24)</f>
        <v>0</v>
      </c>
      <c r="AL30" s="254">
        <f>INDEX(Problématiques_compétences!$D$3:$BA$118,MATCH(Progression_Cycle4!AL$4,Problématiques_compétences!$D$3:$D$118,0),24)</f>
        <v>0</v>
      </c>
    </row>
    <row r="31" spans="1:38">
      <c r="A31" s="833"/>
      <c r="B31" s="217" t="s">
        <v>185</v>
      </c>
      <c r="C31" s="371" t="s">
        <v>293</v>
      </c>
      <c r="D31" s="346"/>
      <c r="E31" s="345" t="s">
        <v>148</v>
      </c>
      <c r="F31" s="347"/>
      <c r="G31" s="348"/>
      <c r="H31" s="6">
        <f>COUNTIF(I31:AL31,"x")</f>
        <v>2</v>
      </c>
      <c r="I31" s="254">
        <f>INDEX(Problématiques_compétences!$D$3:$BA$118,MATCH(Progression_Cycle4!I$4,Problématiques_compétences!$D$3:$D$118,0),25)</f>
        <v>0</v>
      </c>
      <c r="J31" s="254" t="str">
        <f>INDEX(Problématiques_compétences!$D$3:$BA$118,MATCH(Progression_Cycle4!J$4,Problématiques_compétences!$D$3:$D$118,0),25)</f>
        <v>x</v>
      </c>
      <c r="K31" s="254">
        <f>INDEX(Problématiques_compétences!$D$3:$BA$118,MATCH(Progression_Cycle4!K$4,Problématiques_compétences!$D$3:$D$118,0),25)</f>
        <v>0</v>
      </c>
      <c r="L31" s="254">
        <f>INDEX(Problématiques_compétences!$D$3:$BA$118,MATCH(Progression_Cycle4!L$4,Problématiques_compétences!$D$3:$D$118,0),25)</f>
        <v>0</v>
      </c>
      <c r="M31" s="254">
        <f>INDEX(Problématiques_compétences!$D$3:$BA$118,MATCH(Progression_Cycle4!M$4,Problématiques_compétences!$D$3:$D$118,0),25)</f>
        <v>0</v>
      </c>
      <c r="N31" s="254">
        <f>INDEX(Problématiques_compétences!$D$3:$BA$118,MATCH(Progression_Cycle4!N$4,Problématiques_compétences!$D$3:$D$118,0),25)</f>
        <v>0</v>
      </c>
      <c r="O31" s="254">
        <f>INDEX(Problématiques_compétences!$D$3:$BA$118,MATCH(Progression_Cycle4!O$4,Problématiques_compétences!$D$3:$D$118,0),25)</f>
        <v>0</v>
      </c>
      <c r="P31" s="254">
        <f>INDEX(Problématiques_compétences!$D$3:$BA$118,MATCH(Progression_Cycle4!P$4,Problématiques_compétences!$D$3:$D$118,0),25)</f>
        <v>0</v>
      </c>
      <c r="Q31" s="254">
        <f>INDEX(Problématiques_compétences!$D$3:$BA$118,MATCH(Progression_Cycle4!Q$4,Problématiques_compétences!$D$3:$D$118,0),25)</f>
        <v>0</v>
      </c>
      <c r="R31" s="254">
        <f>INDEX(Problématiques_compétences!$D$3:$BA$118,MATCH(Progression_Cycle4!R$4,Problématiques_compétences!$D$3:$D$118,0),25)</f>
        <v>0</v>
      </c>
      <c r="S31" s="254">
        <f>INDEX(Problématiques_compétences!$D$3:$BA$118,MATCH(Progression_Cycle4!S$4,Problématiques_compétences!$D$3:$D$118,0),25)</f>
        <v>0</v>
      </c>
      <c r="T31" s="254">
        <f>INDEX(Problématiques_compétences!$D$3:$BA$118,MATCH(Progression_Cycle4!T$4,Problématiques_compétences!$D$3:$D$118,0),25)</f>
        <v>0</v>
      </c>
      <c r="U31" s="254">
        <f>INDEX(Problématiques_compétences!$D$3:$BA$118,MATCH(Progression_Cycle4!U$4,Problématiques_compétences!$D$3:$D$118,0),25)</f>
        <v>0</v>
      </c>
      <c r="V31" s="254">
        <f>INDEX(Problématiques_compétences!$D$3:$BA$118,MATCH(Progression_Cycle4!V$4,Problématiques_compétences!$D$3:$D$118,0),25)</f>
        <v>0</v>
      </c>
      <c r="W31" s="254">
        <f>INDEX(Problématiques_compétences!$D$3:$BA$118,MATCH(Progression_Cycle4!W$4,Problématiques_compétences!$D$3:$D$118,0),25)</f>
        <v>0</v>
      </c>
      <c r="X31" s="254">
        <f>INDEX(Problématiques_compétences!$D$3:$BA$118,MATCH(Progression_Cycle4!X$4,Problématiques_compétences!$D$3:$D$118,0),25)</f>
        <v>0</v>
      </c>
      <c r="Y31" s="254">
        <f>INDEX(Problématiques_compétences!$D$3:$BA$118,MATCH(Progression_Cycle4!Y$4,Problématiques_compétences!$D$3:$D$118,0),25)</f>
        <v>0</v>
      </c>
      <c r="Z31" s="254">
        <f>INDEX(Problématiques_compétences!$D$3:$BA$118,MATCH(Progression_Cycle4!Z$4,Problématiques_compétences!$D$3:$D$118,0),25)</f>
        <v>0</v>
      </c>
      <c r="AA31" s="254" t="str">
        <f>INDEX(Problématiques_compétences!$D$3:$BA$118,MATCH(Progression_Cycle4!AA$4,Problématiques_compétences!$D$3:$D$118,0),25)</f>
        <v>x</v>
      </c>
      <c r="AB31" s="254">
        <f>INDEX(Problématiques_compétences!$D$3:$BA$118,MATCH(Progression_Cycle4!AB$4,Problématiques_compétences!$D$3:$D$118,0),25)</f>
        <v>0</v>
      </c>
      <c r="AC31" s="254">
        <f>INDEX(Problématiques_compétences!$D$3:$BA$118,MATCH(Progression_Cycle4!AC$4,Problématiques_compétences!$D$3:$D$118,0),25)</f>
        <v>0</v>
      </c>
      <c r="AD31" s="254">
        <f>INDEX(Problématiques_compétences!$D$3:$BA$118,MATCH(Progression_Cycle4!AD$4,Problématiques_compétences!$D$3:$D$118,0),25)</f>
        <v>0</v>
      </c>
      <c r="AE31" s="254">
        <f>INDEX(Problématiques_compétences!$D$3:$BA$118,MATCH(Progression_Cycle4!AE$4,Problématiques_compétences!$D$3:$D$118,0),25)</f>
        <v>0</v>
      </c>
      <c r="AF31" s="254">
        <f>INDEX(Problématiques_compétences!$D$3:$BA$118,MATCH(Progression_Cycle4!AF$4,Problématiques_compétences!$D$3:$D$118,0),25)</f>
        <v>0</v>
      </c>
      <c r="AG31" s="254">
        <f>INDEX(Problématiques_compétences!$D$3:$BA$118,MATCH(Progression_Cycle4!AG$4,Problématiques_compétences!$D$3:$D$118,0),25)</f>
        <v>0</v>
      </c>
      <c r="AH31" s="254">
        <f>INDEX(Problématiques_compétences!$D$3:$BA$118,MATCH(Progression_Cycle4!AH$4,Problématiques_compétences!$D$3:$D$118,0),25)</f>
        <v>0</v>
      </c>
      <c r="AI31" s="254">
        <f>INDEX(Problématiques_compétences!$D$3:$BA$118,MATCH(Progression_Cycle4!AI$4,Problématiques_compétences!$D$3:$D$118,0),25)</f>
        <v>0</v>
      </c>
      <c r="AJ31" s="254">
        <f>INDEX(Problématiques_compétences!$D$3:$BA$118,MATCH(Progression_Cycle4!AJ$4,Problématiques_compétences!$D$3:$D$118,0),25)</f>
        <v>0</v>
      </c>
      <c r="AK31" s="254">
        <f>INDEX(Problématiques_compétences!$D$3:$BA$118,MATCH(Progression_Cycle4!AK$4,Problématiques_compétences!$D$3:$D$118,0),25)</f>
        <v>0</v>
      </c>
      <c r="AL31" s="254">
        <f>INDEX(Problématiques_compétences!$D$3:$BA$118,MATCH(Progression_Cycle4!AL$4,Problématiques_compétences!$D$3:$D$118,0),25)</f>
        <v>0</v>
      </c>
    </row>
    <row r="32" spans="1:38">
      <c r="A32" s="833"/>
      <c r="B32" s="219" t="s">
        <v>183</v>
      </c>
      <c r="C32" s="224" t="s">
        <v>294</v>
      </c>
      <c r="D32" s="346"/>
      <c r="E32" s="347"/>
      <c r="F32" s="347"/>
      <c r="G32" s="350" t="s">
        <v>91</v>
      </c>
      <c r="H32" s="6">
        <f>COUNTIF(I32:AL32,"x")</f>
        <v>6</v>
      </c>
      <c r="I32" s="254">
        <f>INDEX(Problématiques_compétences!$D$3:$BA$118,MATCH(Progression_Cycle4!I$4,Problématiques_compétences!$D$3:$D$118,0),26)</f>
        <v>0</v>
      </c>
      <c r="J32" s="254">
        <f>INDEX(Problématiques_compétences!$D$3:$BA$118,MATCH(Progression_Cycle4!J$4,Problématiques_compétences!$D$3:$D$118,0),26)</f>
        <v>0</v>
      </c>
      <c r="K32" s="254" t="str">
        <f>INDEX(Problématiques_compétences!$D$3:$BA$118,MATCH(Progression_Cycle4!K$4,Problématiques_compétences!$D$3:$D$118,0),26)</f>
        <v>x</v>
      </c>
      <c r="L32" s="254">
        <f>INDEX(Problématiques_compétences!$D$3:$BA$118,MATCH(Progression_Cycle4!L$4,Problématiques_compétences!$D$3:$D$118,0),26)</f>
        <v>0</v>
      </c>
      <c r="M32" s="254">
        <f>INDEX(Problématiques_compétences!$D$3:$BA$118,MATCH(Progression_Cycle4!M$4,Problématiques_compétences!$D$3:$D$118,0),26)</f>
        <v>0</v>
      </c>
      <c r="N32" s="254">
        <f>INDEX(Problématiques_compétences!$D$3:$BA$118,MATCH(Progression_Cycle4!N$4,Problématiques_compétences!$D$3:$D$118,0),26)</f>
        <v>0</v>
      </c>
      <c r="O32" s="254" t="str">
        <f>INDEX(Problématiques_compétences!$D$3:$BA$118,MATCH(Progression_Cycle4!O$4,Problématiques_compétences!$D$3:$D$118,0),26)</f>
        <v>x</v>
      </c>
      <c r="P32" s="254">
        <f>INDEX(Problématiques_compétences!$D$3:$BA$118,MATCH(Progression_Cycle4!P$4,Problématiques_compétences!$D$3:$D$118,0),26)</f>
        <v>0</v>
      </c>
      <c r="Q32" s="254">
        <f>INDEX(Problématiques_compétences!$D$3:$BA$118,MATCH(Progression_Cycle4!Q$4,Problématiques_compétences!$D$3:$D$118,0),26)</f>
        <v>0</v>
      </c>
      <c r="R32" s="254">
        <f>INDEX(Problématiques_compétences!$D$3:$BA$118,MATCH(Progression_Cycle4!R$4,Problématiques_compétences!$D$3:$D$118,0),26)</f>
        <v>0</v>
      </c>
      <c r="S32" s="254" t="str">
        <f>INDEX(Problématiques_compétences!$D$3:$BA$118,MATCH(Progression_Cycle4!S$4,Problématiques_compétences!$D$3:$D$118,0),26)</f>
        <v>x</v>
      </c>
      <c r="T32" s="254">
        <f>INDEX(Problématiques_compétences!$D$3:$BA$118,MATCH(Progression_Cycle4!T$4,Problématiques_compétences!$D$3:$D$118,0),26)</f>
        <v>0</v>
      </c>
      <c r="U32" s="254">
        <f>INDEX(Problématiques_compétences!$D$3:$BA$118,MATCH(Progression_Cycle4!U$4,Problématiques_compétences!$D$3:$D$118,0),26)</f>
        <v>0</v>
      </c>
      <c r="V32" s="254">
        <f>INDEX(Problématiques_compétences!$D$3:$BA$118,MATCH(Progression_Cycle4!V$4,Problématiques_compétences!$D$3:$D$118,0),26)</f>
        <v>0</v>
      </c>
      <c r="W32" s="254" t="str">
        <f>INDEX(Problématiques_compétences!$D$3:$BA$118,MATCH(Progression_Cycle4!W$4,Problématiques_compétences!$D$3:$D$118,0),26)</f>
        <v>x</v>
      </c>
      <c r="X32" s="254">
        <f>INDEX(Problématiques_compétences!$D$3:$BA$118,MATCH(Progression_Cycle4!X$4,Problématiques_compétences!$D$3:$D$118,0),26)</f>
        <v>0</v>
      </c>
      <c r="Y32" s="254">
        <f>INDEX(Problématiques_compétences!$D$3:$BA$118,MATCH(Progression_Cycle4!Y$4,Problématiques_compétences!$D$3:$D$118,0),26)</f>
        <v>0</v>
      </c>
      <c r="Z32" s="254">
        <f>INDEX(Problématiques_compétences!$D$3:$BA$118,MATCH(Progression_Cycle4!Z$4,Problématiques_compétences!$D$3:$D$118,0),26)</f>
        <v>0</v>
      </c>
      <c r="AA32" s="254">
        <f>INDEX(Problématiques_compétences!$D$3:$BA$118,MATCH(Progression_Cycle4!AA$4,Problématiques_compétences!$D$3:$D$118,0),26)</f>
        <v>0</v>
      </c>
      <c r="AB32" s="254" t="str">
        <f>INDEX(Problématiques_compétences!$D$3:$BA$118,MATCH(Progression_Cycle4!AB$4,Problématiques_compétences!$D$3:$D$118,0),26)</f>
        <v>x</v>
      </c>
      <c r="AC32" s="254">
        <f>INDEX(Problématiques_compétences!$D$3:$BA$118,MATCH(Progression_Cycle4!AC$4,Problématiques_compétences!$D$3:$D$118,0),26)</f>
        <v>0</v>
      </c>
      <c r="AD32" s="254">
        <f>INDEX(Problématiques_compétences!$D$3:$BA$118,MATCH(Progression_Cycle4!AD$4,Problématiques_compétences!$D$3:$D$118,0),26)</f>
        <v>0</v>
      </c>
      <c r="AE32" s="254">
        <f>INDEX(Problématiques_compétences!$D$3:$BA$118,MATCH(Progression_Cycle4!AE$4,Problématiques_compétences!$D$3:$D$118,0),26)</f>
        <v>0</v>
      </c>
      <c r="AF32" s="254">
        <f>INDEX(Problématiques_compétences!$D$3:$BA$118,MATCH(Progression_Cycle4!AF$4,Problématiques_compétences!$D$3:$D$118,0),26)</f>
        <v>0</v>
      </c>
      <c r="AG32" s="254" t="str">
        <f>INDEX(Problématiques_compétences!$D$3:$BA$118,MATCH(Progression_Cycle4!AG$4,Problématiques_compétences!$D$3:$D$118,0),26)</f>
        <v>x</v>
      </c>
      <c r="AH32" s="254">
        <f>INDEX(Problématiques_compétences!$D$3:$BA$118,MATCH(Progression_Cycle4!AH$4,Problématiques_compétences!$D$3:$D$118,0),26)</f>
        <v>0</v>
      </c>
      <c r="AI32" s="254">
        <f>INDEX(Problématiques_compétences!$D$3:$BA$118,MATCH(Progression_Cycle4!AI$4,Problématiques_compétences!$D$3:$D$118,0),26)</f>
        <v>0</v>
      </c>
      <c r="AJ32" s="254">
        <f>INDEX(Problématiques_compétences!$D$3:$BA$118,MATCH(Progression_Cycle4!AJ$4,Problématiques_compétences!$D$3:$D$118,0),26)</f>
        <v>0</v>
      </c>
      <c r="AK32" s="254">
        <f>INDEX(Problématiques_compétences!$D$3:$BA$118,MATCH(Progression_Cycle4!AK$4,Problématiques_compétences!$D$3:$D$118,0),26)</f>
        <v>0</v>
      </c>
      <c r="AL32" s="254">
        <f>INDEX(Problématiques_compétences!$D$3:$BA$118,MATCH(Progression_Cycle4!AL$4,Problématiques_compétences!$D$3:$D$118,0),26)</f>
        <v>0</v>
      </c>
    </row>
    <row r="33" spans="1:38" ht="15.75" thickBot="1">
      <c r="A33" s="834"/>
      <c r="B33" s="221" t="s">
        <v>182</v>
      </c>
      <c r="C33" s="222" t="s">
        <v>295</v>
      </c>
      <c r="D33" s="346"/>
      <c r="E33" s="347"/>
      <c r="F33" s="347"/>
      <c r="G33" s="350" t="s">
        <v>90</v>
      </c>
      <c r="H33" s="6">
        <f>COUNTIF(I33:AL33,"x")</f>
        <v>4</v>
      </c>
      <c r="I33" s="254">
        <f>INDEX(Problématiques_compétences!$D$3:$BA$118,MATCH(Progression_Cycle4!I$4,Problématiques_compétences!$D$3:$D$118,0),27)</f>
        <v>0</v>
      </c>
      <c r="J33" s="254">
        <f>INDEX(Problématiques_compétences!$D$3:$BA$118,MATCH(Progression_Cycle4!J$4,Problématiques_compétences!$D$3:$D$118,0),27)</f>
        <v>0</v>
      </c>
      <c r="K33" s="254" t="str">
        <f>INDEX(Problématiques_compétences!$D$3:$BA$118,MATCH(Progression_Cycle4!K$4,Problématiques_compétences!$D$3:$D$118,0),27)</f>
        <v>x</v>
      </c>
      <c r="L33" s="254">
        <f>INDEX(Problématiques_compétences!$D$3:$BA$118,MATCH(Progression_Cycle4!L$4,Problématiques_compétences!$D$3:$D$118,0),27)</f>
        <v>0</v>
      </c>
      <c r="M33" s="254">
        <f>INDEX(Problématiques_compétences!$D$3:$BA$118,MATCH(Progression_Cycle4!M$4,Problématiques_compétences!$D$3:$D$118,0),27)</f>
        <v>0</v>
      </c>
      <c r="N33" s="254">
        <f>INDEX(Problématiques_compétences!$D$3:$BA$118,MATCH(Progression_Cycle4!N$4,Problématiques_compétences!$D$3:$D$118,0),27)</f>
        <v>0</v>
      </c>
      <c r="O33" s="254">
        <f>INDEX(Problématiques_compétences!$D$3:$BA$118,MATCH(Progression_Cycle4!O$4,Problématiques_compétences!$D$3:$D$118,0),27)</f>
        <v>0</v>
      </c>
      <c r="P33" s="254">
        <f>INDEX(Problématiques_compétences!$D$3:$BA$118,MATCH(Progression_Cycle4!P$4,Problématiques_compétences!$D$3:$D$118,0),27)</f>
        <v>0</v>
      </c>
      <c r="Q33" s="254">
        <f>INDEX(Problématiques_compétences!$D$3:$BA$118,MATCH(Progression_Cycle4!Q$4,Problématiques_compétences!$D$3:$D$118,0),27)</f>
        <v>0</v>
      </c>
      <c r="R33" s="254">
        <f>INDEX(Problématiques_compétences!$D$3:$BA$118,MATCH(Progression_Cycle4!R$4,Problématiques_compétences!$D$3:$D$118,0),27)</f>
        <v>0</v>
      </c>
      <c r="S33" s="254">
        <f>INDEX(Problématiques_compétences!$D$3:$BA$118,MATCH(Progression_Cycle4!S$4,Problématiques_compétences!$D$3:$D$118,0),27)</f>
        <v>0</v>
      </c>
      <c r="T33" s="254">
        <f>INDEX(Problématiques_compétences!$D$3:$BA$118,MATCH(Progression_Cycle4!T$4,Problématiques_compétences!$D$3:$D$118,0),27)</f>
        <v>0</v>
      </c>
      <c r="U33" s="254">
        <f>INDEX(Problématiques_compétences!$D$3:$BA$118,MATCH(Progression_Cycle4!U$4,Problématiques_compétences!$D$3:$D$118,0),27)</f>
        <v>0</v>
      </c>
      <c r="V33" s="254">
        <f>INDEX(Problématiques_compétences!$D$3:$BA$118,MATCH(Progression_Cycle4!V$4,Problématiques_compétences!$D$3:$D$118,0),27)</f>
        <v>0</v>
      </c>
      <c r="W33" s="254">
        <f>INDEX(Problématiques_compétences!$D$3:$BA$118,MATCH(Progression_Cycle4!W$4,Problématiques_compétences!$D$3:$D$118,0),27)</f>
        <v>0</v>
      </c>
      <c r="X33" s="254">
        <f>INDEX(Problématiques_compétences!$D$3:$BA$118,MATCH(Progression_Cycle4!X$4,Problématiques_compétences!$D$3:$D$118,0),27)</f>
        <v>0</v>
      </c>
      <c r="Y33" s="254">
        <f>INDEX(Problématiques_compétences!$D$3:$BA$118,MATCH(Progression_Cycle4!Y$4,Problématiques_compétences!$D$3:$D$118,0),27)</f>
        <v>0</v>
      </c>
      <c r="Z33" s="254">
        <f>INDEX(Problématiques_compétences!$D$3:$BA$118,MATCH(Progression_Cycle4!Z$4,Problématiques_compétences!$D$3:$D$118,0),27)</f>
        <v>0</v>
      </c>
      <c r="AA33" s="254">
        <f>INDEX(Problématiques_compétences!$D$3:$BA$118,MATCH(Progression_Cycle4!AA$4,Problématiques_compétences!$D$3:$D$118,0),27)</f>
        <v>0</v>
      </c>
      <c r="AB33" s="254">
        <f>INDEX(Problématiques_compétences!$D$3:$BA$118,MATCH(Progression_Cycle4!AB$4,Problématiques_compétences!$D$3:$D$118,0),27)</f>
        <v>0</v>
      </c>
      <c r="AC33" s="254">
        <f>INDEX(Problématiques_compétences!$D$3:$BA$118,MATCH(Progression_Cycle4!AC$4,Problématiques_compétences!$D$3:$D$118,0),27)</f>
        <v>0</v>
      </c>
      <c r="AD33" s="254">
        <f>INDEX(Problématiques_compétences!$D$3:$BA$118,MATCH(Progression_Cycle4!AD$4,Problématiques_compétences!$D$3:$D$118,0),27)</f>
        <v>0</v>
      </c>
      <c r="AE33" s="254">
        <f>INDEX(Problématiques_compétences!$D$3:$BA$118,MATCH(Progression_Cycle4!AE$4,Problématiques_compétences!$D$3:$D$118,0),27)</f>
        <v>0</v>
      </c>
      <c r="AF33" s="254" t="str">
        <f>INDEX(Problématiques_compétences!$D$3:$BA$118,MATCH(Progression_Cycle4!AF$4,Problématiques_compétences!$D$3:$D$118,0),27)</f>
        <v>x</v>
      </c>
      <c r="AG33" s="254" t="str">
        <f>INDEX(Problématiques_compétences!$D$3:$BA$118,MATCH(Progression_Cycle4!AG$4,Problématiques_compétences!$D$3:$D$118,0),27)</f>
        <v>x</v>
      </c>
      <c r="AH33" s="254">
        <f>INDEX(Problématiques_compétences!$D$3:$BA$118,MATCH(Progression_Cycle4!AH$4,Problématiques_compétences!$D$3:$D$118,0),27)</f>
        <v>0</v>
      </c>
      <c r="AI33" s="254">
        <f>INDEX(Problématiques_compétences!$D$3:$BA$118,MATCH(Progression_Cycle4!AI$4,Problématiques_compétences!$D$3:$D$118,0),27)</f>
        <v>0</v>
      </c>
      <c r="AJ33" s="254">
        <f>INDEX(Problématiques_compétences!$D$3:$BA$118,MATCH(Progression_Cycle4!AJ$4,Problématiques_compétences!$D$3:$D$118,0),27)</f>
        <v>0</v>
      </c>
      <c r="AK33" s="254" t="str">
        <f>INDEX(Problématiques_compétences!$D$3:$BA$118,MATCH(Progression_Cycle4!AK$4,Problématiques_compétences!$D$3:$D$118,0),27)</f>
        <v>X</v>
      </c>
      <c r="AL33" s="254">
        <f>INDEX(Problématiques_compétences!$D$3:$BA$118,MATCH(Progression_Cycle4!AL$4,Problématiques_compétences!$D$3:$D$118,0),27)</f>
        <v>0</v>
      </c>
    </row>
    <row r="34" spans="1:38" ht="30">
      <c r="A34" s="151" t="s">
        <v>180</v>
      </c>
      <c r="B34" s="215">
        <v>6</v>
      </c>
      <c r="C34" s="216" t="s">
        <v>51</v>
      </c>
      <c r="D34" s="827"/>
      <c r="E34" s="828"/>
      <c r="F34" s="828"/>
      <c r="G34" s="828"/>
      <c r="H34" s="828"/>
      <c r="I34" s="828"/>
      <c r="J34" s="828"/>
      <c r="K34" s="828"/>
      <c r="L34" s="828"/>
      <c r="M34" s="828"/>
      <c r="N34" s="828"/>
      <c r="O34" s="828"/>
      <c r="P34" s="828"/>
      <c r="Q34" s="828"/>
      <c r="R34" s="828"/>
      <c r="S34" s="828"/>
      <c r="T34" s="828"/>
      <c r="U34" s="828"/>
      <c r="V34" s="828"/>
      <c r="W34" s="828"/>
      <c r="X34" s="828"/>
      <c r="Y34" s="828"/>
      <c r="Z34" s="828"/>
      <c r="AA34" s="828"/>
      <c r="AB34" s="828"/>
      <c r="AC34" s="828"/>
      <c r="AD34" s="828"/>
      <c r="AE34" s="828"/>
      <c r="AF34" s="828"/>
      <c r="AG34" s="828"/>
      <c r="AH34" s="828"/>
      <c r="AI34" s="828"/>
      <c r="AJ34" s="828"/>
      <c r="AK34" s="828"/>
      <c r="AL34" s="829"/>
    </row>
    <row r="35" spans="1:38" ht="45">
      <c r="A35" s="152" t="s">
        <v>172</v>
      </c>
      <c r="B35" s="217" t="s">
        <v>178</v>
      </c>
      <c r="C35" s="371" t="s">
        <v>177</v>
      </c>
      <c r="D35" s="346"/>
      <c r="E35" s="345" t="s">
        <v>163</v>
      </c>
      <c r="F35" s="347"/>
      <c r="G35" s="348"/>
      <c r="H35" s="6">
        <f>COUNTIF(I35:AL35,"x")</f>
        <v>4</v>
      </c>
      <c r="I35" s="254">
        <f>INDEX(Problématiques_compétences!$D$3:$BA$118,MATCH(Progression_Cycle4!I$4,Problématiques_compétences!$D$3:$D$118,0),30)</f>
        <v>0</v>
      </c>
      <c r="J35" s="254">
        <f>INDEX(Problématiques_compétences!$D$3:$BA$118,MATCH(Progression_Cycle4!J$4,Problématiques_compétences!$D$3:$D$118,0),30)</f>
        <v>0</v>
      </c>
      <c r="K35" s="254">
        <f>INDEX(Problématiques_compétences!$D$3:$BA$118,MATCH(Progression_Cycle4!K$4,Problématiques_compétences!$D$3:$D$118,0),30)</f>
        <v>0</v>
      </c>
      <c r="L35" s="254">
        <f>INDEX(Problématiques_compétences!$D$3:$BA$118,MATCH(Progression_Cycle4!L$4,Problématiques_compétences!$D$3:$D$118,0),30)</f>
        <v>0</v>
      </c>
      <c r="M35" s="254">
        <f>INDEX(Problématiques_compétences!$D$3:$BA$118,MATCH(Progression_Cycle4!M$4,Problématiques_compétences!$D$3:$D$118,0),30)</f>
        <v>0</v>
      </c>
      <c r="N35" s="254">
        <f>INDEX(Problématiques_compétences!$D$3:$BA$118,MATCH(Progression_Cycle4!N$4,Problématiques_compétences!$D$3:$D$118,0),30)</f>
        <v>0</v>
      </c>
      <c r="O35" s="254">
        <f>INDEX(Problématiques_compétences!$D$3:$BA$118,MATCH(Progression_Cycle4!O$4,Problématiques_compétences!$D$3:$D$118,0),30)</f>
        <v>0</v>
      </c>
      <c r="P35" s="254">
        <f>INDEX(Problématiques_compétences!$D$3:$BA$118,MATCH(Progression_Cycle4!P$4,Problématiques_compétences!$D$3:$D$118,0),30)</f>
        <v>0</v>
      </c>
      <c r="Q35" s="254">
        <f>INDEX(Problématiques_compétences!$D$3:$BA$118,MATCH(Progression_Cycle4!Q$4,Problématiques_compétences!$D$3:$D$118,0),30)</f>
        <v>0</v>
      </c>
      <c r="R35" s="254">
        <f>INDEX(Problématiques_compétences!$D$3:$BA$118,MATCH(Progression_Cycle4!R$4,Problématiques_compétences!$D$3:$D$118,0),30)</f>
        <v>0</v>
      </c>
      <c r="S35" s="254">
        <f>INDEX(Problématiques_compétences!$D$3:$BA$118,MATCH(Progression_Cycle4!S$4,Problématiques_compétences!$D$3:$D$118,0),30)</f>
        <v>0</v>
      </c>
      <c r="T35" s="254">
        <f>INDEX(Problématiques_compétences!$D$3:$BA$118,MATCH(Progression_Cycle4!T$4,Problématiques_compétences!$D$3:$D$118,0),30)</f>
        <v>0</v>
      </c>
      <c r="U35" s="254" t="str">
        <f>INDEX(Problématiques_compétences!$D$3:$BA$118,MATCH(Progression_Cycle4!U$4,Problématiques_compétences!$D$3:$D$118,0),30)</f>
        <v>x</v>
      </c>
      <c r="V35" s="254">
        <f>INDEX(Problématiques_compétences!$D$3:$BA$118,MATCH(Progression_Cycle4!V$4,Problématiques_compétences!$D$3:$D$118,0),30)</f>
        <v>0</v>
      </c>
      <c r="W35" s="254">
        <f>INDEX(Problématiques_compétences!$D$3:$BA$118,MATCH(Progression_Cycle4!W$4,Problématiques_compétences!$D$3:$D$118,0),30)</f>
        <v>0</v>
      </c>
      <c r="X35" s="254">
        <f>INDEX(Problématiques_compétences!$D$3:$BA$118,MATCH(Progression_Cycle4!X$4,Problématiques_compétences!$D$3:$D$118,0),30)</f>
        <v>0</v>
      </c>
      <c r="Y35" s="254">
        <f>INDEX(Problématiques_compétences!$D$3:$BA$118,MATCH(Progression_Cycle4!Y$4,Problématiques_compétences!$D$3:$D$118,0),30)</f>
        <v>0</v>
      </c>
      <c r="Z35" s="254">
        <f>INDEX(Problématiques_compétences!$D$3:$BA$118,MATCH(Progression_Cycle4!Z$4,Problématiques_compétences!$D$3:$D$118,0),30)</f>
        <v>0</v>
      </c>
      <c r="AA35" s="254">
        <f>INDEX(Problématiques_compétences!$D$3:$BA$118,MATCH(Progression_Cycle4!AA$4,Problématiques_compétences!$D$3:$D$118,0),30)</f>
        <v>0</v>
      </c>
      <c r="AB35" s="254">
        <f>INDEX(Problématiques_compétences!$D$3:$BA$118,MATCH(Progression_Cycle4!AB$4,Problématiques_compétences!$D$3:$D$118,0),30)</f>
        <v>0</v>
      </c>
      <c r="AC35" s="254" t="str">
        <f>INDEX(Problématiques_compétences!$D$3:$BA$118,MATCH(Progression_Cycle4!AC$4,Problématiques_compétences!$D$3:$D$118,0),30)</f>
        <v>x</v>
      </c>
      <c r="AD35" s="254">
        <f>INDEX(Problématiques_compétences!$D$3:$BA$118,MATCH(Progression_Cycle4!AD$4,Problématiques_compétences!$D$3:$D$118,0),30)</f>
        <v>0</v>
      </c>
      <c r="AE35" s="254" t="str">
        <f>INDEX(Problématiques_compétences!$D$3:$BA$118,MATCH(Progression_Cycle4!AE$4,Problématiques_compétences!$D$3:$D$118,0),30)</f>
        <v>x</v>
      </c>
      <c r="AF35" s="254">
        <f>INDEX(Problématiques_compétences!$D$3:$BA$118,MATCH(Progression_Cycle4!AF$4,Problématiques_compétences!$D$3:$D$118,0),30)</f>
        <v>0</v>
      </c>
      <c r="AG35" s="254">
        <f>INDEX(Problématiques_compétences!$D$3:$BA$118,MATCH(Progression_Cycle4!AG$4,Problématiques_compétences!$D$3:$D$118,0),30)</f>
        <v>0</v>
      </c>
      <c r="AH35" s="254">
        <f>INDEX(Problématiques_compétences!$D$3:$BA$118,MATCH(Progression_Cycle4!AH$4,Problématiques_compétences!$D$3:$D$118,0),30)</f>
        <v>0</v>
      </c>
      <c r="AI35" s="254">
        <f>INDEX(Problématiques_compétences!$D$3:$BA$118,MATCH(Progression_Cycle4!AI$4,Problématiques_compétences!$D$3:$D$118,0),30)</f>
        <v>0</v>
      </c>
      <c r="AJ35" s="254">
        <f>INDEX(Problématiques_compétences!$D$3:$BA$118,MATCH(Progression_Cycle4!AJ$4,Problématiques_compétences!$D$3:$D$118,0),30)</f>
        <v>0</v>
      </c>
      <c r="AK35" s="254" t="str">
        <f>INDEX(Problématiques_compétences!$D$3:$BA$118,MATCH(Progression_Cycle4!AK$4,Problématiques_compétences!$D$3:$D$118,0),30)</f>
        <v>x</v>
      </c>
      <c r="AL35" s="254">
        <f>INDEX(Problématiques_compétences!$D$3:$BA$118,MATCH(Progression_Cycle4!AL$4,Problématiques_compétences!$D$3:$D$118,0),30)</f>
        <v>0</v>
      </c>
    </row>
    <row r="36" spans="1:38">
      <c r="A36" s="230"/>
      <c r="B36" s="217" t="s">
        <v>176</v>
      </c>
      <c r="C36" s="223" t="s">
        <v>296</v>
      </c>
      <c r="D36" s="346"/>
      <c r="E36" s="345" t="s">
        <v>174</v>
      </c>
      <c r="F36" s="347"/>
      <c r="G36" s="348"/>
      <c r="H36" s="6">
        <f>COUNTIF(I36:AL36,"x")</f>
        <v>1</v>
      </c>
      <c r="I36" s="254">
        <f>INDEX(Problématiques_compétences!$D$3:$BA$118,MATCH(Progression_Cycle4!I$4,Problématiques_compétences!$D$3:$D$118,0),31)</f>
        <v>0</v>
      </c>
      <c r="J36" s="254">
        <f>INDEX(Problématiques_compétences!$D$3:$BA$118,MATCH(Progression_Cycle4!J$4,Problématiques_compétences!$D$3:$D$118,0),31)</f>
        <v>0</v>
      </c>
      <c r="K36" s="254">
        <f>INDEX(Problématiques_compétences!$D$3:$BA$118,MATCH(Progression_Cycle4!K$4,Problématiques_compétences!$D$3:$D$118,0),31)</f>
        <v>0</v>
      </c>
      <c r="L36" s="254">
        <f>INDEX(Problématiques_compétences!$D$3:$BA$118,MATCH(Progression_Cycle4!L$4,Problématiques_compétences!$D$3:$D$118,0),31)</f>
        <v>0</v>
      </c>
      <c r="M36" s="254">
        <f>INDEX(Problématiques_compétences!$D$3:$BA$118,MATCH(Progression_Cycle4!M$4,Problématiques_compétences!$D$3:$D$118,0),31)</f>
        <v>0</v>
      </c>
      <c r="N36" s="254">
        <f>INDEX(Problématiques_compétences!$D$3:$BA$118,MATCH(Progression_Cycle4!N$4,Problématiques_compétences!$D$3:$D$118,0),31)</f>
        <v>0</v>
      </c>
      <c r="O36" s="254" t="str">
        <f>INDEX(Problématiques_compétences!$D$3:$BA$118,MATCH(Progression_Cycle4!O$4,Problématiques_compétences!$D$3:$D$118,0),31)</f>
        <v>x</v>
      </c>
      <c r="P36" s="254">
        <f>INDEX(Problématiques_compétences!$D$3:$BA$118,MATCH(Progression_Cycle4!P$4,Problématiques_compétences!$D$3:$D$118,0),31)</f>
        <v>0</v>
      </c>
      <c r="Q36" s="254">
        <f>INDEX(Problématiques_compétences!$D$3:$BA$118,MATCH(Progression_Cycle4!Q$4,Problématiques_compétences!$D$3:$D$118,0),31)</f>
        <v>0</v>
      </c>
      <c r="R36" s="254">
        <f>INDEX(Problématiques_compétences!$D$3:$BA$118,MATCH(Progression_Cycle4!R$4,Problématiques_compétences!$D$3:$D$118,0),31)</f>
        <v>0</v>
      </c>
      <c r="S36" s="254">
        <f>INDEX(Problématiques_compétences!$D$3:$BA$118,MATCH(Progression_Cycle4!S$4,Problématiques_compétences!$D$3:$D$118,0),31)</f>
        <v>0</v>
      </c>
      <c r="T36" s="254">
        <f>INDEX(Problématiques_compétences!$D$3:$BA$118,MATCH(Progression_Cycle4!T$4,Problématiques_compétences!$D$3:$D$118,0),31)</f>
        <v>0</v>
      </c>
      <c r="U36" s="254">
        <f>INDEX(Problématiques_compétences!$D$3:$BA$118,MATCH(Progression_Cycle4!U$4,Problématiques_compétences!$D$3:$D$118,0),31)</f>
        <v>0</v>
      </c>
      <c r="V36" s="254">
        <f>INDEX(Problématiques_compétences!$D$3:$BA$118,MATCH(Progression_Cycle4!V$4,Problématiques_compétences!$D$3:$D$118,0),31)</f>
        <v>0</v>
      </c>
      <c r="W36" s="254">
        <f>INDEX(Problématiques_compétences!$D$3:$BA$118,MATCH(Progression_Cycle4!W$4,Problématiques_compétences!$D$3:$D$118,0),31)</f>
        <v>0</v>
      </c>
      <c r="X36" s="254">
        <f>INDEX(Problématiques_compétences!$D$3:$BA$118,MATCH(Progression_Cycle4!X$4,Problématiques_compétences!$D$3:$D$118,0),31)</f>
        <v>0</v>
      </c>
      <c r="Y36" s="254">
        <f>INDEX(Problématiques_compétences!$D$3:$BA$118,MATCH(Progression_Cycle4!Y$4,Problématiques_compétences!$D$3:$D$118,0),31)</f>
        <v>0</v>
      </c>
      <c r="Z36" s="254">
        <f>INDEX(Problématiques_compétences!$D$3:$BA$118,MATCH(Progression_Cycle4!Z$4,Problématiques_compétences!$D$3:$D$118,0),31)</f>
        <v>0</v>
      </c>
      <c r="AA36" s="254">
        <f>INDEX(Problématiques_compétences!$D$3:$BA$118,MATCH(Progression_Cycle4!AA$4,Problématiques_compétences!$D$3:$D$118,0),31)</f>
        <v>0</v>
      </c>
      <c r="AB36" s="254">
        <f>INDEX(Problématiques_compétences!$D$3:$BA$118,MATCH(Progression_Cycle4!AB$4,Problématiques_compétences!$D$3:$D$118,0),31)</f>
        <v>0</v>
      </c>
      <c r="AC36" s="254">
        <f>INDEX(Problématiques_compétences!$D$3:$BA$118,MATCH(Progression_Cycle4!AC$4,Problématiques_compétences!$D$3:$D$118,0),31)</f>
        <v>0</v>
      </c>
      <c r="AD36" s="254">
        <f>INDEX(Problématiques_compétences!$D$3:$BA$118,MATCH(Progression_Cycle4!AD$4,Problématiques_compétences!$D$3:$D$118,0),31)</f>
        <v>0</v>
      </c>
      <c r="AE36" s="254">
        <f>INDEX(Problématiques_compétences!$D$3:$BA$118,MATCH(Progression_Cycle4!AE$4,Problématiques_compétences!$D$3:$D$118,0),31)</f>
        <v>0</v>
      </c>
      <c r="AF36" s="254">
        <f>INDEX(Problématiques_compétences!$D$3:$BA$118,MATCH(Progression_Cycle4!AF$4,Problématiques_compétences!$D$3:$D$118,0),31)</f>
        <v>0</v>
      </c>
      <c r="AG36" s="254">
        <f>INDEX(Problématiques_compétences!$D$3:$BA$118,MATCH(Progression_Cycle4!AG$4,Problématiques_compétences!$D$3:$D$118,0),31)</f>
        <v>0</v>
      </c>
      <c r="AH36" s="254">
        <f>INDEX(Problématiques_compétences!$D$3:$BA$118,MATCH(Progression_Cycle4!AH$4,Problématiques_compétences!$D$3:$D$118,0),31)</f>
        <v>0</v>
      </c>
      <c r="AI36" s="254">
        <f>INDEX(Problématiques_compétences!$D$3:$BA$118,MATCH(Progression_Cycle4!AI$4,Problématiques_compétences!$D$3:$D$118,0),31)</f>
        <v>0</v>
      </c>
      <c r="AJ36" s="254">
        <f>INDEX(Problématiques_compétences!$D$3:$BA$118,MATCH(Progression_Cycle4!AJ$4,Problématiques_compétences!$D$3:$D$118,0),31)</f>
        <v>0</v>
      </c>
      <c r="AK36" s="254">
        <f>INDEX(Problématiques_compétences!$D$3:$BA$118,MATCH(Progression_Cycle4!AK$4,Problématiques_compétences!$D$3:$D$118,0),31)</f>
        <v>0</v>
      </c>
      <c r="AL36" s="254">
        <f>INDEX(Problématiques_compétences!$D$3:$BA$118,MATCH(Progression_Cycle4!AL$4,Problématiques_compétences!$D$3:$D$118,0),31)</f>
        <v>0</v>
      </c>
    </row>
    <row r="37" spans="1:38" ht="15.75" thickBot="1">
      <c r="A37" s="231"/>
      <c r="B37" s="221" t="s">
        <v>175</v>
      </c>
      <c r="C37" s="372" t="s">
        <v>455</v>
      </c>
      <c r="D37" s="346"/>
      <c r="E37" s="345" t="s">
        <v>169</v>
      </c>
      <c r="F37" s="347"/>
      <c r="G37" s="348"/>
      <c r="H37" s="6">
        <f>COUNTIF(I37:AL37,"x")</f>
        <v>2</v>
      </c>
      <c r="I37" s="254">
        <f>INDEX(Problématiques_compétences!$D$3:$BA$118,MATCH(Progression_Cycle4!I$4,Problématiques_compétences!$D$3:$D$118,0),32)</f>
        <v>0</v>
      </c>
      <c r="J37" s="254">
        <f>INDEX(Problématiques_compétences!$D$3:$BA$118,MATCH(Progression_Cycle4!J$4,Problématiques_compétences!$D$3:$D$118,0),32)</f>
        <v>0</v>
      </c>
      <c r="K37" s="254">
        <f>INDEX(Problématiques_compétences!$D$3:$BA$118,MATCH(Progression_Cycle4!K$4,Problématiques_compétences!$D$3:$D$118,0),32)</f>
        <v>0</v>
      </c>
      <c r="L37" s="254" t="str">
        <f>INDEX(Problématiques_compétences!$D$3:$BA$118,MATCH(Progression_Cycle4!L$4,Problématiques_compétences!$D$3:$D$118,0),32)</f>
        <v>x</v>
      </c>
      <c r="M37" s="254">
        <f>INDEX(Problématiques_compétences!$D$3:$BA$118,MATCH(Progression_Cycle4!M$4,Problématiques_compétences!$D$3:$D$118,0),32)</f>
        <v>0</v>
      </c>
      <c r="N37" s="254">
        <f>INDEX(Problématiques_compétences!$D$3:$BA$118,MATCH(Progression_Cycle4!N$4,Problématiques_compétences!$D$3:$D$118,0),32)</f>
        <v>0</v>
      </c>
      <c r="O37" s="254">
        <f>INDEX(Problématiques_compétences!$D$3:$BA$118,MATCH(Progression_Cycle4!O$4,Problématiques_compétences!$D$3:$D$118,0),32)</f>
        <v>0</v>
      </c>
      <c r="P37" s="254">
        <f>INDEX(Problématiques_compétences!$D$3:$BA$118,MATCH(Progression_Cycle4!P$4,Problématiques_compétences!$D$3:$D$118,0),32)</f>
        <v>0</v>
      </c>
      <c r="Q37" s="254">
        <f>INDEX(Problématiques_compétences!$D$3:$BA$118,MATCH(Progression_Cycle4!Q$4,Problématiques_compétences!$D$3:$D$118,0),32)</f>
        <v>0</v>
      </c>
      <c r="R37" s="254">
        <f>INDEX(Problématiques_compétences!$D$3:$BA$118,MATCH(Progression_Cycle4!R$4,Problématiques_compétences!$D$3:$D$118,0),32)</f>
        <v>0</v>
      </c>
      <c r="S37" s="254">
        <f>INDEX(Problématiques_compétences!$D$3:$BA$118,MATCH(Progression_Cycle4!S$4,Problématiques_compétences!$D$3:$D$118,0),32)</f>
        <v>0</v>
      </c>
      <c r="T37" s="254">
        <f>INDEX(Problématiques_compétences!$D$3:$BA$118,MATCH(Progression_Cycle4!T$4,Problématiques_compétences!$D$3:$D$118,0),32)</f>
        <v>0</v>
      </c>
      <c r="U37" s="254">
        <f>INDEX(Problématiques_compétences!$D$3:$BA$118,MATCH(Progression_Cycle4!U$4,Problématiques_compétences!$D$3:$D$118,0),32)</f>
        <v>0</v>
      </c>
      <c r="V37" s="254">
        <f>INDEX(Problématiques_compétences!$D$3:$BA$118,MATCH(Progression_Cycle4!V$4,Problématiques_compétences!$D$3:$D$118,0),32)</f>
        <v>0</v>
      </c>
      <c r="W37" s="254">
        <f>INDEX(Problématiques_compétences!$D$3:$BA$118,MATCH(Progression_Cycle4!W$4,Problématiques_compétences!$D$3:$D$118,0),32)</f>
        <v>0</v>
      </c>
      <c r="X37" s="254">
        <f>INDEX(Problématiques_compétences!$D$3:$BA$118,MATCH(Progression_Cycle4!X$4,Problématiques_compétences!$D$3:$D$118,0),32)</f>
        <v>0</v>
      </c>
      <c r="Y37" s="254" t="str">
        <f>INDEX(Problématiques_compétences!$D$3:$BA$118,MATCH(Progression_Cycle4!Y$4,Problématiques_compétences!$D$3:$D$118,0),32)</f>
        <v>x</v>
      </c>
      <c r="Z37" s="254">
        <f>INDEX(Problématiques_compétences!$D$3:$BA$118,MATCH(Progression_Cycle4!Z$4,Problématiques_compétences!$D$3:$D$118,0),32)</f>
        <v>0</v>
      </c>
      <c r="AA37" s="254">
        <f>INDEX(Problématiques_compétences!$D$3:$BA$118,MATCH(Progression_Cycle4!AA$4,Problématiques_compétences!$D$3:$D$118,0),32)</f>
        <v>0</v>
      </c>
      <c r="AB37" s="254">
        <f>INDEX(Problématiques_compétences!$D$3:$BA$118,MATCH(Progression_Cycle4!AB$4,Problématiques_compétences!$D$3:$D$118,0),32)</f>
        <v>0</v>
      </c>
      <c r="AC37" s="254">
        <f>INDEX(Problématiques_compétences!$D$3:$BA$118,MATCH(Progression_Cycle4!AC$4,Problématiques_compétences!$D$3:$D$118,0),32)</f>
        <v>0</v>
      </c>
      <c r="AD37" s="254">
        <f>INDEX(Problématiques_compétences!$D$3:$BA$118,MATCH(Progression_Cycle4!AD$4,Problématiques_compétences!$D$3:$D$118,0),32)</f>
        <v>0</v>
      </c>
      <c r="AE37" s="254">
        <f>INDEX(Problématiques_compétences!$D$3:$BA$118,MATCH(Progression_Cycle4!AE$4,Problématiques_compétences!$D$3:$D$118,0),32)</f>
        <v>0</v>
      </c>
      <c r="AF37" s="254">
        <f>INDEX(Problématiques_compétences!$D$3:$BA$118,MATCH(Progression_Cycle4!AF$4,Problématiques_compétences!$D$3:$D$118,0),32)</f>
        <v>0</v>
      </c>
      <c r="AG37" s="254">
        <f>INDEX(Problématiques_compétences!$D$3:$BA$118,MATCH(Progression_Cycle4!AG$4,Problématiques_compétences!$D$3:$D$118,0),32)</f>
        <v>0</v>
      </c>
      <c r="AH37" s="254">
        <f>INDEX(Problématiques_compétences!$D$3:$BA$118,MATCH(Progression_Cycle4!AH$4,Problématiques_compétences!$D$3:$D$118,0),32)</f>
        <v>0</v>
      </c>
      <c r="AI37" s="254">
        <f>INDEX(Problématiques_compétences!$D$3:$BA$118,MATCH(Progression_Cycle4!AI$4,Problématiques_compétences!$D$3:$D$118,0),32)</f>
        <v>0</v>
      </c>
      <c r="AJ37" s="254">
        <f>INDEX(Problématiques_compétences!$D$3:$BA$118,MATCH(Progression_Cycle4!AJ$4,Problématiques_compétences!$D$3:$D$118,0),32)</f>
        <v>0</v>
      </c>
      <c r="AK37" s="254">
        <f>INDEX(Problématiques_compétences!$D$3:$BA$118,MATCH(Progression_Cycle4!AK$4,Problématiques_compétences!$D$3:$D$118,0),32)</f>
        <v>0</v>
      </c>
      <c r="AL37" s="254">
        <f>INDEX(Problématiques_compétences!$D$3:$BA$118,MATCH(Progression_Cycle4!AL$4,Problématiques_compétences!$D$3:$D$118,0),32)</f>
        <v>0</v>
      </c>
    </row>
    <row r="38" spans="1:38">
      <c r="A38" s="678" t="s">
        <v>172</v>
      </c>
      <c r="B38" s="215">
        <v>7</v>
      </c>
      <c r="C38" s="216" t="s">
        <v>52</v>
      </c>
      <c r="D38" s="827"/>
      <c r="E38" s="828"/>
      <c r="F38" s="828"/>
      <c r="G38" s="828"/>
      <c r="H38" s="828"/>
      <c r="I38" s="828"/>
      <c r="J38" s="828"/>
      <c r="K38" s="828"/>
      <c r="L38" s="828"/>
      <c r="M38" s="828"/>
      <c r="N38" s="828"/>
      <c r="O38" s="828"/>
      <c r="P38" s="828"/>
      <c r="Q38" s="828"/>
      <c r="R38" s="828"/>
      <c r="S38" s="828"/>
      <c r="T38" s="828"/>
      <c r="U38" s="828"/>
      <c r="V38" s="828"/>
      <c r="W38" s="828"/>
      <c r="X38" s="828"/>
      <c r="Y38" s="828"/>
      <c r="Z38" s="828"/>
      <c r="AA38" s="828"/>
      <c r="AB38" s="828"/>
      <c r="AC38" s="828"/>
      <c r="AD38" s="828"/>
      <c r="AE38" s="828"/>
      <c r="AF38" s="828"/>
      <c r="AG38" s="828"/>
      <c r="AH38" s="828"/>
      <c r="AI38" s="828"/>
      <c r="AJ38" s="828"/>
      <c r="AK38" s="828"/>
      <c r="AL38" s="829"/>
    </row>
    <row r="39" spans="1:38">
      <c r="A39" s="679"/>
      <c r="B39" s="217" t="s">
        <v>170</v>
      </c>
      <c r="C39" s="218" t="s">
        <v>54</v>
      </c>
      <c r="D39" s="346"/>
      <c r="E39" s="345" t="s">
        <v>169</v>
      </c>
      <c r="F39" s="347"/>
      <c r="G39" s="348"/>
      <c r="H39" s="6">
        <f>COUNTIF(I39:AL39,"x")</f>
        <v>2</v>
      </c>
      <c r="I39" s="254">
        <f>INDEX(Problématiques_compétences!$D$3:$BA$118,MATCH(Progression_Cycle4!I$4,Problématiques_compétences!$D$3:$D$118,0),33)</f>
        <v>0</v>
      </c>
      <c r="J39" s="254">
        <f>INDEX(Problématiques_compétences!$D$3:$BA$118,MATCH(Progression_Cycle4!J$4,Problématiques_compétences!$D$3:$D$118,0),33)</f>
        <v>0</v>
      </c>
      <c r="K39" s="254">
        <f>INDEX(Problématiques_compétences!$D$3:$BA$118,MATCH(Progression_Cycle4!K$4,Problématiques_compétences!$D$3:$D$118,0),33)</f>
        <v>0</v>
      </c>
      <c r="L39" s="254">
        <f>INDEX(Problématiques_compétences!$D$3:$BA$118,MATCH(Progression_Cycle4!L$4,Problématiques_compétences!$D$3:$D$118,0),33)</f>
        <v>0</v>
      </c>
      <c r="M39" s="254">
        <f>INDEX(Problématiques_compétences!$D$3:$BA$118,MATCH(Progression_Cycle4!M$4,Problématiques_compétences!$D$3:$D$118,0),33)</f>
        <v>0</v>
      </c>
      <c r="N39" s="254">
        <f>INDEX(Problématiques_compétences!$D$3:$BA$118,MATCH(Progression_Cycle4!N$4,Problématiques_compétences!$D$3:$D$118,0),33)</f>
        <v>0</v>
      </c>
      <c r="O39" s="254">
        <f>INDEX(Problématiques_compétences!$D$3:$BA$118,MATCH(Progression_Cycle4!O$4,Problématiques_compétences!$D$3:$D$118,0),33)</f>
        <v>0</v>
      </c>
      <c r="P39" s="254">
        <f>INDEX(Problématiques_compétences!$D$3:$BA$118,MATCH(Progression_Cycle4!P$4,Problématiques_compétences!$D$3:$D$118,0),33)</f>
        <v>0</v>
      </c>
      <c r="Q39" s="254">
        <f>INDEX(Problématiques_compétences!$D$3:$BA$118,MATCH(Progression_Cycle4!Q$4,Problématiques_compétences!$D$3:$D$118,0),33)</f>
        <v>0</v>
      </c>
      <c r="R39" s="254">
        <f>INDEX(Problématiques_compétences!$D$3:$BA$118,MATCH(Progression_Cycle4!R$4,Problématiques_compétences!$D$3:$D$118,0),33)</f>
        <v>0</v>
      </c>
      <c r="S39" s="254">
        <f>INDEX(Problématiques_compétences!$D$3:$BA$118,MATCH(Progression_Cycle4!S$4,Problématiques_compétences!$D$3:$D$118,0),33)</f>
        <v>0</v>
      </c>
      <c r="T39" s="254">
        <f>INDEX(Problématiques_compétences!$D$3:$BA$118,MATCH(Progression_Cycle4!T$4,Problématiques_compétences!$D$3:$D$118,0),33)</f>
        <v>0</v>
      </c>
      <c r="U39" s="254">
        <f>INDEX(Problématiques_compétences!$D$3:$BA$118,MATCH(Progression_Cycle4!U$4,Problématiques_compétences!$D$3:$D$118,0),33)</f>
        <v>0</v>
      </c>
      <c r="V39" s="254">
        <f>INDEX(Problématiques_compétences!$D$3:$BA$118,MATCH(Progression_Cycle4!V$4,Problématiques_compétences!$D$3:$D$118,0),33)</f>
        <v>0</v>
      </c>
      <c r="W39" s="254">
        <f>INDEX(Problématiques_compétences!$D$3:$BA$118,MATCH(Progression_Cycle4!W$4,Problématiques_compétences!$D$3:$D$118,0),33)</f>
        <v>0</v>
      </c>
      <c r="X39" s="254">
        <f>INDEX(Problématiques_compétences!$D$3:$BA$118,MATCH(Progression_Cycle4!X$4,Problématiques_compétences!$D$3:$D$118,0),33)</f>
        <v>0</v>
      </c>
      <c r="Y39" s="254">
        <f>INDEX(Problématiques_compétences!$D$3:$BA$118,MATCH(Progression_Cycle4!Y$4,Problématiques_compétences!$D$3:$D$118,0),33)</f>
        <v>0</v>
      </c>
      <c r="Z39" s="254">
        <f>INDEX(Problématiques_compétences!$D$3:$BA$118,MATCH(Progression_Cycle4!Z$4,Problématiques_compétences!$D$3:$D$118,0),33)</f>
        <v>0</v>
      </c>
      <c r="AA39" s="254">
        <f>INDEX(Problématiques_compétences!$D$3:$BA$118,MATCH(Progression_Cycle4!AA$4,Problématiques_compétences!$D$3:$D$118,0),33)</f>
        <v>0</v>
      </c>
      <c r="AB39" s="254">
        <f>INDEX(Problématiques_compétences!$D$3:$BA$118,MATCH(Progression_Cycle4!AB$4,Problématiques_compétences!$D$3:$D$118,0),33)</f>
        <v>0</v>
      </c>
      <c r="AC39" s="254">
        <f>INDEX(Problématiques_compétences!$D$3:$BA$118,MATCH(Progression_Cycle4!AC$4,Problématiques_compétences!$D$3:$D$118,0),33)</f>
        <v>0</v>
      </c>
      <c r="AD39" s="254">
        <f>INDEX(Problématiques_compétences!$D$3:$BA$118,MATCH(Progression_Cycle4!AD$4,Problématiques_compétences!$D$3:$D$118,0),33)</f>
        <v>0</v>
      </c>
      <c r="AE39" s="254" t="str">
        <f>INDEX(Problématiques_compétences!$D$3:$BA$118,MATCH(Progression_Cycle4!AE$4,Problématiques_compétences!$D$3:$D$118,0),33)</f>
        <v>x</v>
      </c>
      <c r="AF39" s="254">
        <f>INDEX(Problématiques_compétences!$D$3:$BA$118,MATCH(Progression_Cycle4!AF$4,Problématiques_compétences!$D$3:$D$118,0),33)</f>
        <v>0</v>
      </c>
      <c r="AG39" s="254">
        <f>INDEX(Problématiques_compétences!$D$3:$BA$118,MATCH(Progression_Cycle4!AG$4,Problématiques_compétences!$D$3:$D$118,0),33)</f>
        <v>0</v>
      </c>
      <c r="AH39" s="254">
        <f>INDEX(Problématiques_compétences!$D$3:$BA$118,MATCH(Progression_Cycle4!AH$4,Problématiques_compétences!$D$3:$D$118,0),33)</f>
        <v>0</v>
      </c>
      <c r="AI39" s="254">
        <f>INDEX(Problématiques_compétences!$D$3:$BA$118,MATCH(Progression_Cycle4!AI$4,Problématiques_compétences!$D$3:$D$118,0),33)</f>
        <v>0</v>
      </c>
      <c r="AJ39" s="254">
        <f>INDEX(Problématiques_compétences!$D$3:$BA$118,MATCH(Progression_Cycle4!AJ$4,Problématiques_compétences!$D$3:$D$118,0),33)</f>
        <v>0</v>
      </c>
      <c r="AK39" s="254" t="str">
        <f>INDEX(Problématiques_compétences!$D$3:$BA$118,MATCH(Progression_Cycle4!AK$4,Problématiques_compétences!$D$3:$D$118,0),33)</f>
        <v>x</v>
      </c>
      <c r="AL39" s="254">
        <f>INDEX(Problématiques_compétences!$D$3:$BA$118,MATCH(Progression_Cycle4!AL$4,Problématiques_compétences!$D$3:$D$118,0),33)</f>
        <v>0</v>
      </c>
    </row>
    <row r="40" spans="1:38" ht="30.75" thickBot="1">
      <c r="A40" s="680"/>
      <c r="B40" s="221" t="s">
        <v>167</v>
      </c>
      <c r="C40" s="232" t="s">
        <v>53</v>
      </c>
      <c r="D40" s="351"/>
      <c r="E40" s="352" t="s">
        <v>164</v>
      </c>
      <c r="F40" s="353"/>
      <c r="G40" s="354"/>
      <c r="H40" s="6">
        <f>COUNTIF(I40:AL40,"x")</f>
        <v>2</v>
      </c>
      <c r="I40" s="254">
        <f>INDEX(Problématiques_compétences!$D$3:$BA$118,MATCH(Progression_Cycle4!I$4,Problématiques_compétences!$D$3:$D$118,0),34)</f>
        <v>0</v>
      </c>
      <c r="J40" s="254">
        <f>INDEX(Problématiques_compétences!$D$3:$BA$118,MATCH(Progression_Cycle4!J$4,Problématiques_compétences!$D$3:$D$118,0),34)</f>
        <v>0</v>
      </c>
      <c r="K40" s="254" t="str">
        <f>INDEX(Problématiques_compétences!$D$3:$BA$118,MATCH(Progression_Cycle4!K$4,Problématiques_compétences!$D$3:$D$118,0),34)</f>
        <v>x</v>
      </c>
      <c r="L40" s="254">
        <f>INDEX(Problématiques_compétences!$D$3:$BA$118,MATCH(Progression_Cycle4!L$4,Problématiques_compétences!$D$3:$D$118,0),34)</f>
        <v>0</v>
      </c>
      <c r="M40" s="254">
        <f>INDEX(Problématiques_compétences!$D$3:$BA$118,MATCH(Progression_Cycle4!M$4,Problématiques_compétences!$D$3:$D$118,0),34)</f>
        <v>0</v>
      </c>
      <c r="N40" s="254">
        <f>INDEX(Problématiques_compétences!$D$3:$BA$118,MATCH(Progression_Cycle4!N$4,Problématiques_compétences!$D$3:$D$118,0),34)</f>
        <v>0</v>
      </c>
      <c r="O40" s="254">
        <f>INDEX(Problématiques_compétences!$D$3:$BA$118,MATCH(Progression_Cycle4!O$4,Problématiques_compétences!$D$3:$D$118,0),34)</f>
        <v>0</v>
      </c>
      <c r="P40" s="254">
        <f>INDEX(Problématiques_compétences!$D$3:$BA$118,MATCH(Progression_Cycle4!P$4,Problématiques_compétences!$D$3:$D$118,0),34)</f>
        <v>0</v>
      </c>
      <c r="Q40" s="254">
        <f>INDEX(Problématiques_compétences!$D$3:$BA$118,MATCH(Progression_Cycle4!Q$4,Problématiques_compétences!$D$3:$D$118,0),34)</f>
        <v>0</v>
      </c>
      <c r="R40" s="254">
        <f>INDEX(Problématiques_compétences!$D$3:$BA$118,MATCH(Progression_Cycle4!R$4,Problématiques_compétences!$D$3:$D$118,0),34)</f>
        <v>0</v>
      </c>
      <c r="S40" s="254">
        <f>INDEX(Problématiques_compétences!$D$3:$BA$118,MATCH(Progression_Cycle4!S$4,Problématiques_compétences!$D$3:$D$118,0),34)</f>
        <v>0</v>
      </c>
      <c r="T40" s="254">
        <f>INDEX(Problématiques_compétences!$D$3:$BA$118,MATCH(Progression_Cycle4!T$4,Problématiques_compétences!$D$3:$D$118,0),34)</f>
        <v>0</v>
      </c>
      <c r="U40" s="254">
        <f>INDEX(Problématiques_compétences!$D$3:$BA$118,MATCH(Progression_Cycle4!U$4,Problématiques_compétences!$D$3:$D$118,0),34)</f>
        <v>0</v>
      </c>
      <c r="V40" s="254">
        <f>INDEX(Problématiques_compétences!$D$3:$BA$118,MATCH(Progression_Cycle4!V$4,Problématiques_compétences!$D$3:$D$118,0),34)</f>
        <v>0</v>
      </c>
      <c r="W40" s="254">
        <f>INDEX(Problématiques_compétences!$D$3:$BA$118,MATCH(Progression_Cycle4!W$4,Problématiques_compétences!$D$3:$D$118,0),34)</f>
        <v>0</v>
      </c>
      <c r="X40" s="254">
        <f>INDEX(Problématiques_compétences!$D$3:$BA$118,MATCH(Progression_Cycle4!X$4,Problématiques_compétences!$D$3:$D$118,0),34)</f>
        <v>0</v>
      </c>
      <c r="Y40" s="254">
        <f>INDEX(Problématiques_compétences!$D$3:$BA$118,MATCH(Progression_Cycle4!Y$4,Problématiques_compétences!$D$3:$D$118,0),34)</f>
        <v>0</v>
      </c>
      <c r="Z40" s="254">
        <f>INDEX(Problématiques_compétences!$D$3:$BA$118,MATCH(Progression_Cycle4!Z$4,Problématiques_compétences!$D$3:$D$118,0),34)</f>
        <v>0</v>
      </c>
      <c r="AA40" s="254">
        <f>INDEX(Problématiques_compétences!$D$3:$BA$118,MATCH(Progression_Cycle4!AA$4,Problématiques_compétences!$D$3:$D$118,0),34)</f>
        <v>0</v>
      </c>
      <c r="AB40" s="254">
        <f>INDEX(Problématiques_compétences!$D$3:$BA$118,MATCH(Progression_Cycle4!AB$4,Problématiques_compétences!$D$3:$D$118,0),34)</f>
        <v>0</v>
      </c>
      <c r="AC40" s="254">
        <f>INDEX(Problématiques_compétences!$D$3:$BA$118,MATCH(Progression_Cycle4!AC$4,Problématiques_compétences!$D$3:$D$118,0),34)</f>
        <v>0</v>
      </c>
      <c r="AD40" s="254">
        <f>INDEX(Problématiques_compétences!$D$3:$BA$118,MATCH(Progression_Cycle4!AD$4,Problématiques_compétences!$D$3:$D$118,0),34)</f>
        <v>0</v>
      </c>
      <c r="AE40" s="254">
        <f>INDEX(Problématiques_compétences!$D$3:$BA$118,MATCH(Progression_Cycle4!AE$4,Problématiques_compétences!$D$3:$D$118,0),34)</f>
        <v>0</v>
      </c>
      <c r="AF40" s="254">
        <f>INDEX(Problématiques_compétences!$D$3:$BA$118,MATCH(Progression_Cycle4!AF$4,Problématiques_compétences!$D$3:$D$118,0),34)</f>
        <v>0</v>
      </c>
      <c r="AG40" s="254">
        <f>INDEX(Problématiques_compétences!$D$3:$BA$118,MATCH(Progression_Cycle4!AG$4,Problématiques_compétences!$D$3:$D$118,0),34)</f>
        <v>0</v>
      </c>
      <c r="AH40" s="254">
        <f>INDEX(Problématiques_compétences!$D$3:$BA$118,MATCH(Progression_Cycle4!AH$4,Problématiques_compétences!$D$3:$D$118,0),34)</f>
        <v>0</v>
      </c>
      <c r="AI40" s="254">
        <f>INDEX(Problématiques_compétences!$D$3:$BA$118,MATCH(Progression_Cycle4!AI$4,Problématiques_compétences!$D$3:$D$118,0),34)</f>
        <v>0</v>
      </c>
      <c r="AJ40" s="254" t="str">
        <f>INDEX(Problématiques_compétences!$D$3:$BA$118,MATCH(Progression_Cycle4!AJ$4,Problématiques_compétences!$D$3:$D$118,0),34)</f>
        <v>x</v>
      </c>
      <c r="AK40" s="254">
        <f>INDEX(Problématiques_compétences!$D$3:$BA$118,MATCH(Progression_Cycle4!AK$4,Problématiques_compétences!$D$3:$D$118,0),34)</f>
        <v>0</v>
      </c>
      <c r="AL40" s="254">
        <f>INDEX(Problématiques_compétences!$D$3:$BA$118,MATCH(Progression_Cycle4!AL$4,Problématiques_compétences!$D$3:$D$118,0),34)</f>
        <v>0</v>
      </c>
    </row>
    <row r="41" spans="1:38">
      <c r="A41" s="214"/>
      <c r="B41" s="214"/>
      <c r="C41" s="214"/>
      <c r="D41" s="830"/>
      <c r="E41" s="831"/>
      <c r="F41" s="831"/>
      <c r="G41" s="831"/>
      <c r="H41" s="828"/>
      <c r="I41" s="828"/>
      <c r="J41" s="828"/>
      <c r="K41" s="828"/>
      <c r="L41" s="828"/>
      <c r="M41" s="828"/>
      <c r="N41" s="828"/>
      <c r="O41" s="828"/>
      <c r="P41" s="828"/>
      <c r="Q41" s="828"/>
      <c r="R41" s="828"/>
      <c r="S41" s="828"/>
      <c r="T41" s="828"/>
      <c r="U41" s="828"/>
      <c r="V41" s="828"/>
      <c r="W41" s="828"/>
      <c r="X41" s="828"/>
      <c r="Y41" s="828"/>
      <c r="Z41" s="828"/>
      <c r="AA41" s="828"/>
      <c r="AB41" s="828"/>
      <c r="AC41" s="828"/>
      <c r="AD41" s="828"/>
      <c r="AE41" s="828"/>
      <c r="AF41" s="828"/>
      <c r="AG41" s="828"/>
      <c r="AH41" s="828"/>
      <c r="AI41" s="828"/>
      <c r="AJ41" s="828"/>
      <c r="AK41" s="828"/>
      <c r="AL41" s="829"/>
    </row>
    <row r="42" spans="1:38" ht="30">
      <c r="A42" s="214"/>
      <c r="B42" s="238" t="s">
        <v>338</v>
      </c>
      <c r="C42" s="181" t="s">
        <v>61</v>
      </c>
      <c r="D42" s="347"/>
      <c r="E42" s="347"/>
      <c r="F42" s="342" t="s">
        <v>140</v>
      </c>
      <c r="G42" s="347"/>
      <c r="H42" s="255">
        <f t="shared" ref="H42:H47" si="1">COUNTIF(I42:AL42,"x")</f>
        <v>1</v>
      </c>
      <c r="I42" s="254">
        <f>INDEX(Problématiques_compétences!$D$3:$BA$118,MATCH(Progression_Cycle4!I$4,Problématiques_compétences!$D$3:$D$118,0),7)</f>
        <v>0</v>
      </c>
      <c r="J42" s="254">
        <f>INDEX(Problématiques_compétences!$D$3:$BA$118,MATCH(Progression_Cycle4!J$4,Problématiques_compétences!$D$3:$D$118,0),7)</f>
        <v>0</v>
      </c>
      <c r="K42" s="254">
        <f>INDEX(Problématiques_compétences!$D$3:$BA$118,MATCH(Progression_Cycle4!K$4,Problématiques_compétences!$D$3:$D$118,0),7)</f>
        <v>0</v>
      </c>
      <c r="L42" s="254">
        <f>INDEX(Problématiques_compétences!$D$3:$BA$118,MATCH(Progression_Cycle4!L$4,Problématiques_compétences!$D$3:$D$118,0),7)</f>
        <v>0</v>
      </c>
      <c r="M42" s="254">
        <f>INDEX(Problématiques_compétences!$D$3:$BA$118,MATCH(Progression_Cycle4!M$4,Problématiques_compétences!$D$3:$D$118,0),7)</f>
        <v>0</v>
      </c>
      <c r="N42" s="254">
        <f>INDEX(Problématiques_compétences!$D$3:$BA$118,MATCH(Progression_Cycle4!N$4,Problématiques_compétences!$D$3:$D$118,0),7)</f>
        <v>0</v>
      </c>
      <c r="O42" s="254">
        <f>INDEX(Problématiques_compétences!$D$3:$BA$118,MATCH(Progression_Cycle4!O$4,Problématiques_compétences!$D$3:$D$118,0),7)</f>
        <v>0</v>
      </c>
      <c r="P42" s="254">
        <f>INDEX(Problématiques_compétences!$D$3:$BA$118,MATCH(Progression_Cycle4!P$4,Problématiques_compétences!$D$3:$D$118,0),7)</f>
        <v>0</v>
      </c>
      <c r="Q42" s="254">
        <f>INDEX(Problématiques_compétences!$D$3:$BA$118,MATCH(Progression_Cycle4!Q$4,Problématiques_compétences!$D$3:$D$118,0),7)</f>
        <v>0</v>
      </c>
      <c r="R42" s="254">
        <f>INDEX(Problématiques_compétences!$D$3:$BA$118,MATCH(Progression_Cycle4!R$4,Problématiques_compétences!$D$3:$D$118,0),7)</f>
        <v>0</v>
      </c>
      <c r="S42" s="254">
        <f>INDEX(Problématiques_compétences!$D$3:$BA$118,MATCH(Progression_Cycle4!S$4,Problématiques_compétences!$D$3:$D$118,0),7)</f>
        <v>0</v>
      </c>
      <c r="T42" s="254">
        <f>INDEX(Problématiques_compétences!$D$3:$BA$118,MATCH(Progression_Cycle4!T$4,Problématiques_compétences!$D$3:$D$118,0),7)</f>
        <v>0</v>
      </c>
      <c r="U42" s="254">
        <f>INDEX(Problématiques_compétences!$D$3:$BA$118,MATCH(Progression_Cycle4!U$4,Problématiques_compétences!$D$3:$D$118,0),7)</f>
        <v>0</v>
      </c>
      <c r="V42" s="254">
        <f>INDEX(Problématiques_compétences!$D$3:$BA$118,MATCH(Progression_Cycle4!V$4,Problématiques_compétences!$D$3:$D$118,0),7)</f>
        <v>0</v>
      </c>
      <c r="W42" s="254">
        <f>INDEX(Problématiques_compétences!$D$3:$BA$118,MATCH(Progression_Cycle4!W$4,Problématiques_compétences!$D$3:$D$118,0),7)</f>
        <v>0</v>
      </c>
      <c r="X42" s="254">
        <f>INDEX(Problématiques_compétences!$D$3:$BA$118,MATCH(Progression_Cycle4!X$4,Problématiques_compétences!$D$3:$D$118,0),7)</f>
        <v>0</v>
      </c>
      <c r="Y42" s="254">
        <f>INDEX(Problématiques_compétences!$D$3:$BA$118,MATCH(Progression_Cycle4!Y$4,Problématiques_compétences!$D$3:$D$118,0),7)</f>
        <v>0</v>
      </c>
      <c r="Z42" s="254" t="str">
        <f>INDEX(Problématiques_compétences!$D$3:$BA$118,MATCH(Progression_Cycle4!Z$4,Problématiques_compétences!$D$3:$D$118,0),7)</f>
        <v>x</v>
      </c>
      <c r="AA42" s="254">
        <f>INDEX(Problématiques_compétences!$D$3:$BA$118,MATCH(Progression_Cycle4!AA$4,Problématiques_compétences!$D$3:$D$118,0),7)</f>
        <v>0</v>
      </c>
      <c r="AB42" s="254">
        <f>INDEX(Problématiques_compétences!$D$3:$BA$118,MATCH(Progression_Cycle4!AB$4,Problématiques_compétences!$D$3:$D$118,0),7)</f>
        <v>0</v>
      </c>
      <c r="AC42" s="254">
        <f>INDEX(Problématiques_compétences!$D$3:$BA$118,MATCH(Progression_Cycle4!AC$4,Problématiques_compétences!$D$3:$D$118,0),7)</f>
        <v>0</v>
      </c>
      <c r="AD42" s="254">
        <f>INDEX(Problématiques_compétences!$D$3:$BA$118,MATCH(Progression_Cycle4!AD$4,Problématiques_compétences!$D$3:$D$118,0),7)</f>
        <v>0</v>
      </c>
      <c r="AE42" s="254">
        <f>INDEX(Problématiques_compétences!$D$3:$BA$118,MATCH(Progression_Cycle4!AE$4,Problématiques_compétences!$D$3:$D$118,0),7)</f>
        <v>0</v>
      </c>
      <c r="AF42" s="254">
        <f>INDEX(Problématiques_compétences!$D$3:$BA$118,MATCH(Progression_Cycle4!AF$4,Problématiques_compétences!$D$3:$D$118,0),7)</f>
        <v>0</v>
      </c>
      <c r="AG42" s="254">
        <f>INDEX(Problématiques_compétences!$D$3:$BA$118,MATCH(Progression_Cycle4!AG$4,Problématiques_compétences!$D$3:$D$118,0),7)</f>
        <v>0</v>
      </c>
      <c r="AH42" s="254">
        <f>INDEX(Problématiques_compétences!$D$3:$BA$118,MATCH(Progression_Cycle4!AH$4,Problématiques_compétences!$D$3:$D$118,0),7)</f>
        <v>0</v>
      </c>
      <c r="AI42" s="254">
        <f>INDEX(Problématiques_compétences!$D$3:$BA$118,MATCH(Progression_Cycle4!AI$4,Problématiques_compétences!$D$3:$D$118,0),7)</f>
        <v>0</v>
      </c>
      <c r="AJ42" s="254">
        <f>INDEX(Problématiques_compétences!$D$3:$BA$118,MATCH(Progression_Cycle4!AJ$4,Problématiques_compétences!$D$3:$D$118,0),7)</f>
        <v>0</v>
      </c>
      <c r="AK42" s="254">
        <f>INDEX(Problématiques_compétences!$D$3:$BA$118,MATCH(Progression_Cycle4!AK$4,Problématiques_compétences!$D$3:$D$118,0),7)</f>
        <v>0</v>
      </c>
      <c r="AL42" s="254">
        <f>INDEX(Problématiques_compétences!$D$3:$BA$118,MATCH(Progression_Cycle4!AL$4,Problématiques_compétences!$D$3:$D$118,0),7)</f>
        <v>0</v>
      </c>
    </row>
    <row r="43" spans="1:38" ht="30">
      <c r="A43" s="214"/>
      <c r="B43" s="80" t="s">
        <v>339</v>
      </c>
      <c r="C43" s="364" t="s">
        <v>36</v>
      </c>
      <c r="D43" s="347"/>
      <c r="E43" s="347"/>
      <c r="F43" s="342" t="s">
        <v>133</v>
      </c>
      <c r="G43" s="347"/>
      <c r="H43" s="255">
        <f t="shared" si="1"/>
        <v>5</v>
      </c>
      <c r="I43" s="254">
        <f>INDEX(Problématiques_compétences!$D$3:$BA$118,MATCH(Progression_Cycle4!I$4,Problématiques_compétences!$D$3:$D$118,0),8)</f>
        <v>0</v>
      </c>
      <c r="J43" s="254">
        <f>INDEX(Problématiques_compétences!$D$3:$BA$118,MATCH(Progression_Cycle4!J$4,Problématiques_compétences!$D$3:$D$118,0),8)</f>
        <v>0</v>
      </c>
      <c r="K43" s="254" t="str">
        <f>INDEX(Problématiques_compétences!$D$3:$BA$118,MATCH(Progression_Cycle4!K$4,Problématiques_compétences!$D$3:$D$118,0),8)</f>
        <v>x</v>
      </c>
      <c r="L43" s="254">
        <f>INDEX(Problématiques_compétences!$D$3:$BA$118,MATCH(Progression_Cycle4!L$4,Problématiques_compétences!$D$3:$D$118,0),8)</f>
        <v>0</v>
      </c>
      <c r="M43" s="254">
        <f>INDEX(Problématiques_compétences!$D$3:$BA$118,MATCH(Progression_Cycle4!M$4,Problématiques_compétences!$D$3:$D$118,0),8)</f>
        <v>0</v>
      </c>
      <c r="N43" s="254" t="str">
        <f>INDEX(Problématiques_compétences!$D$3:$BA$118,MATCH(Progression_Cycle4!N$4,Problématiques_compétences!$D$3:$D$118,0),8)</f>
        <v>x</v>
      </c>
      <c r="O43" s="254">
        <f>INDEX(Problématiques_compétences!$D$3:$BA$118,MATCH(Progression_Cycle4!O$4,Problématiques_compétences!$D$3:$D$118,0),8)</f>
        <v>0</v>
      </c>
      <c r="P43" s="254">
        <f>INDEX(Problématiques_compétences!$D$3:$BA$118,MATCH(Progression_Cycle4!P$4,Problématiques_compétences!$D$3:$D$118,0),8)</f>
        <v>0</v>
      </c>
      <c r="Q43" s="254">
        <f>INDEX(Problématiques_compétences!$D$3:$BA$118,MATCH(Progression_Cycle4!Q$4,Problématiques_compétences!$D$3:$D$118,0),8)</f>
        <v>0</v>
      </c>
      <c r="R43" s="254" t="str">
        <f>INDEX(Problématiques_compétences!$D$3:$BA$118,MATCH(Progression_Cycle4!R$4,Problématiques_compétences!$D$3:$D$118,0),8)</f>
        <v>x</v>
      </c>
      <c r="S43" s="254">
        <f>INDEX(Problématiques_compétences!$D$3:$BA$118,MATCH(Progression_Cycle4!S$4,Problématiques_compétences!$D$3:$D$118,0),8)</f>
        <v>0</v>
      </c>
      <c r="T43" s="254">
        <f>INDEX(Problématiques_compétences!$D$3:$BA$118,MATCH(Progression_Cycle4!T$4,Problématiques_compétences!$D$3:$D$118,0),8)</f>
        <v>0</v>
      </c>
      <c r="U43" s="254">
        <f>INDEX(Problématiques_compétences!$D$3:$BA$118,MATCH(Progression_Cycle4!U$4,Problématiques_compétences!$D$3:$D$118,0),8)</f>
        <v>0</v>
      </c>
      <c r="V43" s="254">
        <f>INDEX(Problématiques_compétences!$D$3:$BA$118,MATCH(Progression_Cycle4!V$4,Problématiques_compétences!$D$3:$D$118,0),8)</f>
        <v>0</v>
      </c>
      <c r="W43" s="254">
        <f>INDEX(Problématiques_compétences!$D$3:$BA$118,MATCH(Progression_Cycle4!W$4,Problématiques_compétences!$D$3:$D$118,0),8)</f>
        <v>0</v>
      </c>
      <c r="X43" s="254">
        <f>INDEX(Problématiques_compétences!$D$3:$BA$118,MATCH(Progression_Cycle4!X$4,Problématiques_compétences!$D$3:$D$118,0),8)</f>
        <v>0</v>
      </c>
      <c r="Y43" s="254">
        <f>INDEX(Problématiques_compétences!$D$3:$BA$118,MATCH(Progression_Cycle4!Y$4,Problématiques_compétences!$D$3:$D$118,0),8)</f>
        <v>0</v>
      </c>
      <c r="Z43" s="254">
        <f>INDEX(Problématiques_compétences!$D$3:$BA$118,MATCH(Progression_Cycle4!Z$4,Problématiques_compétences!$D$3:$D$118,0),8)</f>
        <v>0</v>
      </c>
      <c r="AA43" s="254">
        <f>INDEX(Problématiques_compétences!$D$3:$BA$118,MATCH(Progression_Cycle4!AA$4,Problématiques_compétences!$D$3:$D$118,0),8)</f>
        <v>0</v>
      </c>
      <c r="AB43" s="254">
        <f>INDEX(Problématiques_compétences!$D$3:$BA$118,MATCH(Progression_Cycle4!AB$4,Problématiques_compétences!$D$3:$D$118,0),8)</f>
        <v>0</v>
      </c>
      <c r="AC43" s="254">
        <f>INDEX(Problématiques_compétences!$D$3:$BA$118,MATCH(Progression_Cycle4!AC$4,Problématiques_compétences!$D$3:$D$118,0),8)</f>
        <v>0</v>
      </c>
      <c r="AD43" s="254">
        <f>INDEX(Problématiques_compétences!$D$3:$BA$118,MATCH(Progression_Cycle4!AD$4,Problématiques_compétences!$D$3:$D$118,0),8)</f>
        <v>0</v>
      </c>
      <c r="AE43" s="254" t="str">
        <f>INDEX(Problématiques_compétences!$D$3:$BA$118,MATCH(Progression_Cycle4!AE$4,Problématiques_compétences!$D$3:$D$118,0),8)</f>
        <v>x</v>
      </c>
      <c r="AF43" s="254">
        <f>INDEX(Problématiques_compétences!$D$3:$BA$118,MATCH(Progression_Cycle4!AF$4,Problématiques_compétences!$D$3:$D$118,0),8)</f>
        <v>0</v>
      </c>
      <c r="AG43" s="254" t="str">
        <f>INDEX(Problématiques_compétences!$D$3:$BA$118,MATCH(Progression_Cycle4!AG$4,Problématiques_compétences!$D$3:$D$118,0),8)</f>
        <v>x</v>
      </c>
      <c r="AH43" s="254">
        <f>INDEX(Problématiques_compétences!$D$3:$BA$118,MATCH(Progression_Cycle4!AH$4,Problématiques_compétences!$D$3:$D$118,0),8)</f>
        <v>0</v>
      </c>
      <c r="AI43" s="254">
        <f>INDEX(Problématiques_compétences!$D$3:$BA$118,MATCH(Progression_Cycle4!AI$4,Problématiques_compétences!$D$3:$D$118,0),8)</f>
        <v>0</v>
      </c>
      <c r="AJ43" s="254">
        <f>INDEX(Problématiques_compétences!$D$3:$BA$118,MATCH(Progression_Cycle4!AJ$4,Problématiques_compétences!$D$3:$D$118,0),8)</f>
        <v>0</v>
      </c>
      <c r="AK43" s="254">
        <f>INDEX(Problématiques_compétences!$D$3:$BA$118,MATCH(Progression_Cycle4!AK$4,Problématiques_compétences!$D$3:$D$118,0),8)</f>
        <v>0</v>
      </c>
      <c r="AL43" s="254">
        <f>INDEX(Problématiques_compétences!$D$3:$BA$118,MATCH(Progression_Cycle4!AL$4,Problématiques_compétences!$D$3:$D$118,0),8)</f>
        <v>0</v>
      </c>
    </row>
    <row r="44" spans="1:38" ht="30">
      <c r="A44" s="214"/>
      <c r="B44" s="238" t="s">
        <v>340</v>
      </c>
      <c r="C44" s="364" t="s">
        <v>65</v>
      </c>
      <c r="D44" s="347"/>
      <c r="E44" s="347"/>
      <c r="F44" s="342" t="s">
        <v>111</v>
      </c>
      <c r="G44" s="347"/>
      <c r="H44" s="255">
        <f t="shared" si="1"/>
        <v>2</v>
      </c>
      <c r="I44" s="254" t="str">
        <f>INDEX(Problématiques_compétences!$D$3:$BA$118,MATCH(Progression_Cycle4!I$4,Problématiques_compétences!$D$3:$D$118,0),9)</f>
        <v>x</v>
      </c>
      <c r="J44" s="254">
        <f>INDEX(Problématiques_compétences!$D$3:$BA$118,MATCH(Progression_Cycle4!J$4,Problématiques_compétences!$D$3:$D$118,0),9)</f>
        <v>0</v>
      </c>
      <c r="K44" s="254">
        <f>INDEX(Problématiques_compétences!$D$3:$BA$118,MATCH(Progression_Cycle4!K$4,Problématiques_compétences!$D$3:$D$118,0),9)</f>
        <v>0</v>
      </c>
      <c r="L44" s="254">
        <f>INDEX(Problématiques_compétences!$D$3:$BA$118,MATCH(Progression_Cycle4!L$4,Problématiques_compétences!$D$3:$D$118,0),9)</f>
        <v>0</v>
      </c>
      <c r="M44" s="254">
        <f>INDEX(Problématiques_compétences!$D$3:$BA$118,MATCH(Progression_Cycle4!M$4,Problématiques_compétences!$D$3:$D$118,0),9)</f>
        <v>0</v>
      </c>
      <c r="N44" s="254">
        <f>INDEX(Problématiques_compétences!$D$3:$BA$118,MATCH(Progression_Cycle4!N$4,Problématiques_compétences!$D$3:$D$118,0),9)</f>
        <v>0</v>
      </c>
      <c r="O44" s="254">
        <f>INDEX(Problématiques_compétences!$D$3:$BA$118,MATCH(Progression_Cycle4!O$4,Problématiques_compétences!$D$3:$D$118,0),9)</f>
        <v>0</v>
      </c>
      <c r="P44" s="254">
        <f>INDEX(Problématiques_compétences!$D$3:$BA$118,MATCH(Progression_Cycle4!P$4,Problématiques_compétences!$D$3:$D$118,0),9)</f>
        <v>0</v>
      </c>
      <c r="Q44" s="254">
        <f>INDEX(Problématiques_compétences!$D$3:$BA$118,MATCH(Progression_Cycle4!Q$4,Problématiques_compétences!$D$3:$D$118,0),9)</f>
        <v>0</v>
      </c>
      <c r="R44" s="254">
        <f>INDEX(Problématiques_compétences!$D$3:$BA$118,MATCH(Progression_Cycle4!R$4,Problématiques_compétences!$D$3:$D$118,0),9)</f>
        <v>0</v>
      </c>
      <c r="S44" s="254">
        <f>INDEX(Problématiques_compétences!$D$3:$BA$118,MATCH(Progression_Cycle4!S$4,Problématiques_compétences!$D$3:$D$118,0),9)</f>
        <v>0</v>
      </c>
      <c r="T44" s="254">
        <f>INDEX(Problématiques_compétences!$D$3:$BA$118,MATCH(Progression_Cycle4!T$4,Problématiques_compétences!$D$3:$D$118,0),9)</f>
        <v>0</v>
      </c>
      <c r="U44" s="254">
        <f>INDEX(Problématiques_compétences!$D$3:$BA$118,MATCH(Progression_Cycle4!U$4,Problématiques_compétences!$D$3:$D$118,0),9)</f>
        <v>0</v>
      </c>
      <c r="V44" s="254">
        <f>INDEX(Problématiques_compétences!$D$3:$BA$118,MATCH(Progression_Cycle4!V$4,Problématiques_compétences!$D$3:$D$118,0),9)</f>
        <v>0</v>
      </c>
      <c r="W44" s="254">
        <f>INDEX(Problématiques_compétences!$D$3:$BA$118,MATCH(Progression_Cycle4!W$4,Problématiques_compétences!$D$3:$D$118,0),9)</f>
        <v>0</v>
      </c>
      <c r="X44" s="254">
        <f>INDEX(Problématiques_compétences!$D$3:$BA$118,MATCH(Progression_Cycle4!X$4,Problématiques_compétences!$D$3:$D$118,0),9)</f>
        <v>0</v>
      </c>
      <c r="Y44" s="254">
        <f>INDEX(Problématiques_compétences!$D$3:$BA$118,MATCH(Progression_Cycle4!Y$4,Problématiques_compétences!$D$3:$D$118,0),9)</f>
        <v>0</v>
      </c>
      <c r="Z44" s="254">
        <f>INDEX(Problématiques_compétences!$D$3:$BA$118,MATCH(Progression_Cycle4!Z$4,Problématiques_compétences!$D$3:$D$118,0),9)</f>
        <v>0</v>
      </c>
      <c r="AA44" s="254">
        <f>INDEX(Problématiques_compétences!$D$3:$BA$118,MATCH(Progression_Cycle4!AA$4,Problématiques_compétences!$D$3:$D$118,0),9)</f>
        <v>0</v>
      </c>
      <c r="AB44" s="254">
        <f>INDEX(Problématiques_compétences!$D$3:$BA$118,MATCH(Progression_Cycle4!AB$4,Problématiques_compétences!$D$3:$D$118,0),9)</f>
        <v>0</v>
      </c>
      <c r="AC44" s="254">
        <f>INDEX(Problématiques_compétences!$D$3:$BA$118,MATCH(Progression_Cycle4!AC$4,Problématiques_compétences!$D$3:$D$118,0),9)</f>
        <v>0</v>
      </c>
      <c r="AD44" s="254">
        <f>INDEX(Problématiques_compétences!$D$3:$BA$118,MATCH(Progression_Cycle4!AD$4,Problématiques_compétences!$D$3:$D$118,0),9)</f>
        <v>0</v>
      </c>
      <c r="AE44" s="254">
        <f>INDEX(Problématiques_compétences!$D$3:$BA$118,MATCH(Progression_Cycle4!AE$4,Problématiques_compétences!$D$3:$D$118,0),9)</f>
        <v>0</v>
      </c>
      <c r="AF44" s="254">
        <f>INDEX(Problématiques_compétences!$D$3:$BA$118,MATCH(Progression_Cycle4!AF$4,Problématiques_compétences!$D$3:$D$118,0),9)</f>
        <v>0</v>
      </c>
      <c r="AG44" s="254">
        <f>INDEX(Problématiques_compétences!$D$3:$BA$118,MATCH(Progression_Cycle4!AG$4,Problématiques_compétences!$D$3:$D$118,0),9)</f>
        <v>0</v>
      </c>
      <c r="AH44" s="254">
        <f>INDEX(Problématiques_compétences!$D$3:$BA$118,MATCH(Progression_Cycle4!AH$4,Problématiques_compétences!$D$3:$D$118,0),9)</f>
        <v>0</v>
      </c>
      <c r="AI44" s="254">
        <f>INDEX(Problématiques_compétences!$D$3:$BA$118,MATCH(Progression_Cycle4!AI$4,Problématiques_compétences!$D$3:$D$118,0),9)</f>
        <v>0</v>
      </c>
      <c r="AJ44" s="254" t="str">
        <f>INDEX(Problématiques_compétences!$D$3:$BA$118,MATCH(Progression_Cycle4!AJ$4,Problématiques_compétences!$D$3:$D$118,0),9)</f>
        <v>x</v>
      </c>
      <c r="AK44" s="254">
        <f>INDEX(Problématiques_compétences!$D$3:$BA$118,MATCH(Progression_Cycle4!AK$4,Problématiques_compétences!$D$3:$D$118,0),9)</f>
        <v>0</v>
      </c>
      <c r="AL44" s="254">
        <f>INDEX(Problématiques_compétences!$D$3:$BA$118,MATCH(Progression_Cycle4!AL$4,Problématiques_compétences!$D$3:$D$118,0),9)</f>
        <v>0</v>
      </c>
    </row>
    <row r="45" spans="1:38" ht="30">
      <c r="A45" s="214"/>
      <c r="B45" s="81" t="s">
        <v>341</v>
      </c>
      <c r="C45" s="181" t="s">
        <v>39</v>
      </c>
      <c r="D45" s="347"/>
      <c r="E45" s="347"/>
      <c r="F45" s="342" t="s">
        <v>107</v>
      </c>
      <c r="G45" s="347"/>
      <c r="H45" s="255">
        <f t="shared" si="1"/>
        <v>2</v>
      </c>
      <c r="I45" s="254">
        <f>INDEX(Problématiques_compétences!$D$3:$BA$118,MATCH(Progression_Cycle4!I$4,Problématiques_compétences!$D$3:$D$118,0),10)</f>
        <v>0</v>
      </c>
      <c r="J45" s="254">
        <f>INDEX(Problématiques_compétences!$D$3:$BA$118,MATCH(Progression_Cycle4!J$4,Problématiques_compétences!$D$3:$D$118,0),10)</f>
        <v>0</v>
      </c>
      <c r="K45" s="254">
        <f>INDEX(Problématiques_compétences!$D$3:$BA$118,MATCH(Progression_Cycle4!K$4,Problématiques_compétences!$D$3:$D$118,0),10)</f>
        <v>0</v>
      </c>
      <c r="L45" s="254">
        <f>INDEX(Problématiques_compétences!$D$3:$BA$118,MATCH(Progression_Cycle4!L$4,Problématiques_compétences!$D$3:$D$118,0),10)</f>
        <v>0</v>
      </c>
      <c r="M45" s="254">
        <f>INDEX(Problématiques_compétences!$D$3:$BA$118,MATCH(Progression_Cycle4!M$4,Problématiques_compétences!$D$3:$D$118,0),10)</f>
        <v>0</v>
      </c>
      <c r="N45" s="254">
        <f>INDEX(Problématiques_compétences!$D$3:$BA$118,MATCH(Progression_Cycle4!N$4,Problématiques_compétences!$D$3:$D$118,0),10)</f>
        <v>0</v>
      </c>
      <c r="O45" s="254">
        <f>INDEX(Problématiques_compétences!$D$3:$BA$118,MATCH(Progression_Cycle4!O$4,Problématiques_compétences!$D$3:$D$118,0),10)</f>
        <v>0</v>
      </c>
      <c r="P45" s="254">
        <f>INDEX(Problématiques_compétences!$D$3:$BA$118,MATCH(Progression_Cycle4!P$4,Problématiques_compétences!$D$3:$D$118,0),10)</f>
        <v>0</v>
      </c>
      <c r="Q45" s="254">
        <f>INDEX(Problématiques_compétences!$D$3:$BA$118,MATCH(Progression_Cycle4!Q$4,Problématiques_compétences!$D$3:$D$118,0),10)</f>
        <v>0</v>
      </c>
      <c r="R45" s="254">
        <f>INDEX(Problématiques_compétences!$D$3:$BA$118,MATCH(Progression_Cycle4!R$4,Problématiques_compétences!$D$3:$D$118,0),10)</f>
        <v>0</v>
      </c>
      <c r="S45" s="254">
        <f>INDEX(Problématiques_compétences!$D$3:$BA$118,MATCH(Progression_Cycle4!S$4,Problématiques_compétences!$D$3:$D$118,0),10)</f>
        <v>0</v>
      </c>
      <c r="T45" s="254" t="str">
        <f>INDEX(Problématiques_compétences!$D$3:$BA$118,MATCH(Progression_Cycle4!T$4,Problématiques_compétences!$D$3:$D$118,0),10)</f>
        <v>x</v>
      </c>
      <c r="U45" s="254">
        <f>INDEX(Problématiques_compétences!$D$3:$BA$118,MATCH(Progression_Cycle4!U$4,Problématiques_compétences!$D$3:$D$118,0),10)</f>
        <v>0</v>
      </c>
      <c r="V45" s="254">
        <f>INDEX(Problématiques_compétences!$D$3:$BA$118,MATCH(Progression_Cycle4!V$4,Problématiques_compétences!$D$3:$D$118,0),10)</f>
        <v>0</v>
      </c>
      <c r="W45" s="254">
        <f>INDEX(Problématiques_compétences!$D$3:$BA$118,MATCH(Progression_Cycle4!W$4,Problématiques_compétences!$D$3:$D$118,0),10)</f>
        <v>0</v>
      </c>
      <c r="X45" s="254" t="str">
        <f>INDEX(Problématiques_compétences!$D$3:$BA$118,MATCH(Progression_Cycle4!X$4,Problématiques_compétences!$D$3:$D$118,0),10)</f>
        <v>x</v>
      </c>
      <c r="Y45" s="254">
        <f>INDEX(Problématiques_compétences!$D$3:$BA$118,MATCH(Progression_Cycle4!Y$4,Problématiques_compétences!$D$3:$D$118,0),10)</f>
        <v>0</v>
      </c>
      <c r="Z45" s="254">
        <f>INDEX(Problématiques_compétences!$D$3:$BA$118,MATCH(Progression_Cycle4!Z$4,Problématiques_compétences!$D$3:$D$118,0),10)</f>
        <v>0</v>
      </c>
      <c r="AA45" s="254">
        <f>INDEX(Problématiques_compétences!$D$3:$BA$118,MATCH(Progression_Cycle4!AA$4,Problématiques_compétences!$D$3:$D$118,0),10)</f>
        <v>0</v>
      </c>
      <c r="AB45" s="254">
        <f>INDEX(Problématiques_compétences!$D$3:$BA$118,MATCH(Progression_Cycle4!AB$4,Problématiques_compétences!$D$3:$D$118,0),10)</f>
        <v>0</v>
      </c>
      <c r="AC45" s="254">
        <f>INDEX(Problématiques_compétences!$D$3:$BA$118,MATCH(Progression_Cycle4!AC$4,Problématiques_compétences!$D$3:$D$118,0),10)</f>
        <v>0</v>
      </c>
      <c r="AD45" s="254">
        <f>INDEX(Problématiques_compétences!$D$3:$BA$118,MATCH(Progression_Cycle4!AD$4,Problématiques_compétences!$D$3:$D$118,0),10)</f>
        <v>0</v>
      </c>
      <c r="AE45" s="254">
        <f>INDEX(Problématiques_compétences!$D$3:$BA$118,MATCH(Progression_Cycle4!AE$4,Problématiques_compétences!$D$3:$D$118,0),10)</f>
        <v>0</v>
      </c>
      <c r="AF45" s="254">
        <f>INDEX(Problématiques_compétences!$D$3:$BA$118,MATCH(Progression_Cycle4!AF$4,Problématiques_compétences!$D$3:$D$118,0),10)</f>
        <v>0</v>
      </c>
      <c r="AG45" s="254">
        <f>INDEX(Problématiques_compétences!$D$3:$BA$118,MATCH(Progression_Cycle4!AG$4,Problématiques_compétences!$D$3:$D$118,0),10)</f>
        <v>0</v>
      </c>
      <c r="AH45" s="254">
        <f>INDEX(Problématiques_compétences!$D$3:$BA$118,MATCH(Progression_Cycle4!AH$4,Problématiques_compétences!$D$3:$D$118,0),10)</f>
        <v>0</v>
      </c>
      <c r="AI45" s="254">
        <f>INDEX(Problématiques_compétences!$D$3:$BA$118,MATCH(Progression_Cycle4!AI$4,Problématiques_compétences!$D$3:$D$118,0),10)</f>
        <v>0</v>
      </c>
      <c r="AJ45" s="254">
        <f>INDEX(Problématiques_compétences!$D$3:$BA$118,MATCH(Progression_Cycle4!AJ$4,Problématiques_compétences!$D$3:$D$118,0),10)</f>
        <v>0</v>
      </c>
      <c r="AK45" s="254">
        <f>INDEX(Problématiques_compétences!$D$3:$BA$118,MATCH(Progression_Cycle4!AK$4,Problématiques_compétences!$D$3:$D$118,0),10)</f>
        <v>0</v>
      </c>
      <c r="AL45" s="254">
        <f>INDEX(Problématiques_compétences!$D$3:$BA$118,MATCH(Progression_Cycle4!AL$4,Problématiques_compétences!$D$3:$D$118,0),10)</f>
        <v>0</v>
      </c>
    </row>
    <row r="46" spans="1:38" ht="41.25" customHeight="1">
      <c r="A46" s="214"/>
      <c r="B46" s="81" t="s">
        <v>336</v>
      </c>
      <c r="C46" s="373" t="s">
        <v>102</v>
      </c>
      <c r="D46" s="347"/>
      <c r="E46" s="347"/>
      <c r="F46" s="343"/>
      <c r="G46" s="344" t="s">
        <v>99</v>
      </c>
      <c r="H46" s="255">
        <f t="shared" si="1"/>
        <v>2</v>
      </c>
      <c r="I46" s="254">
        <f>INDEX(Problématiques_compétences!$D$3:$BA$118,MATCH(Progression_Cycle4!I$4,Problématiques_compétences!$D$3:$D$118,0),28)</f>
        <v>0</v>
      </c>
      <c r="J46" s="254">
        <f>INDEX(Problématiques_compétences!$D$3:$BA$118,MATCH(Progression_Cycle4!J$4,Problématiques_compétences!$D$3:$D$118,0),28)</f>
        <v>0</v>
      </c>
      <c r="K46" s="254">
        <f>INDEX(Problématiques_compétences!$D$3:$BA$118,MATCH(Progression_Cycle4!K$4,Problématiques_compétences!$D$3:$D$118,0),28)</f>
        <v>0</v>
      </c>
      <c r="L46" s="254">
        <f>INDEX(Problématiques_compétences!$D$3:$BA$118,MATCH(Progression_Cycle4!L$4,Problématiques_compétences!$D$3:$D$118,0),28)</f>
        <v>0</v>
      </c>
      <c r="M46" s="254">
        <f>INDEX(Problématiques_compétences!$D$3:$BA$118,MATCH(Progression_Cycle4!M$4,Problématiques_compétences!$D$3:$D$118,0),28)</f>
        <v>0</v>
      </c>
      <c r="N46" s="254">
        <f>INDEX(Problématiques_compétences!$D$3:$BA$118,MATCH(Progression_Cycle4!N$4,Problématiques_compétences!$D$3:$D$118,0),28)</f>
        <v>0</v>
      </c>
      <c r="O46" s="254">
        <f>INDEX(Problématiques_compétences!$D$3:$BA$118,MATCH(Progression_Cycle4!O$4,Problématiques_compétences!$D$3:$D$118,0),28)</f>
        <v>0</v>
      </c>
      <c r="P46" s="254">
        <f>INDEX(Problématiques_compétences!$D$3:$BA$118,MATCH(Progression_Cycle4!P$4,Problématiques_compétences!$D$3:$D$118,0),28)</f>
        <v>0</v>
      </c>
      <c r="Q46" s="254">
        <f>INDEX(Problématiques_compétences!$D$3:$BA$118,MATCH(Progression_Cycle4!Q$4,Problématiques_compétences!$D$3:$D$118,0),28)</f>
        <v>0</v>
      </c>
      <c r="R46" s="254">
        <f>INDEX(Problématiques_compétences!$D$3:$BA$118,MATCH(Progression_Cycle4!R$4,Problématiques_compétences!$D$3:$D$118,0),28)</f>
        <v>0</v>
      </c>
      <c r="S46" s="254">
        <f>INDEX(Problématiques_compétences!$D$3:$BA$118,MATCH(Progression_Cycle4!S$4,Problématiques_compétences!$D$3:$D$118,0),28)</f>
        <v>0</v>
      </c>
      <c r="T46" s="254">
        <f>INDEX(Problématiques_compétences!$D$3:$BA$118,MATCH(Progression_Cycle4!T$4,Problématiques_compétences!$D$3:$D$118,0),28)</f>
        <v>0</v>
      </c>
      <c r="U46" s="254">
        <f>INDEX(Problématiques_compétences!$D$3:$BA$118,MATCH(Progression_Cycle4!U$4,Problématiques_compétences!$D$3:$D$118,0),28)</f>
        <v>0</v>
      </c>
      <c r="V46" s="254">
        <f>INDEX(Problématiques_compétences!$D$3:$BA$118,MATCH(Progression_Cycle4!V$4,Problématiques_compétences!$D$3:$D$118,0),28)</f>
        <v>0</v>
      </c>
      <c r="W46" s="254">
        <f>INDEX(Problématiques_compétences!$D$3:$BA$118,MATCH(Progression_Cycle4!W$4,Problématiques_compétences!$D$3:$D$118,0),28)</f>
        <v>0</v>
      </c>
      <c r="X46" s="254">
        <f>INDEX(Problématiques_compétences!$D$3:$BA$118,MATCH(Progression_Cycle4!X$4,Problématiques_compétences!$D$3:$D$118,0),28)</f>
        <v>0</v>
      </c>
      <c r="Y46" s="254">
        <f>INDEX(Problématiques_compétences!$D$3:$BA$118,MATCH(Progression_Cycle4!Y$4,Problématiques_compétences!$D$3:$D$118,0),28)</f>
        <v>0</v>
      </c>
      <c r="Z46" s="254" t="str">
        <f>INDEX(Problématiques_compétences!$D$3:$BA$118,MATCH(Progression_Cycle4!Z$4,Problématiques_compétences!$D$3:$D$118,0),28)</f>
        <v>x</v>
      </c>
      <c r="AA46" s="254">
        <f>INDEX(Problématiques_compétences!$D$3:$BA$118,MATCH(Progression_Cycle4!AA$4,Problématiques_compétences!$D$3:$D$118,0),28)</f>
        <v>0</v>
      </c>
      <c r="AB46" s="254">
        <f>INDEX(Problématiques_compétences!$D$3:$BA$118,MATCH(Progression_Cycle4!AB$4,Problématiques_compétences!$D$3:$D$118,0),28)</f>
        <v>0</v>
      </c>
      <c r="AC46" s="254" t="str">
        <f>INDEX(Problématiques_compétences!$D$3:$BA$118,MATCH(Progression_Cycle4!AC$4,Problématiques_compétences!$D$3:$D$118,0),28)</f>
        <v>x</v>
      </c>
      <c r="AD46" s="254">
        <f>INDEX(Problématiques_compétences!$D$3:$BA$118,MATCH(Progression_Cycle4!AD$4,Problématiques_compétences!$D$3:$D$118,0),28)</f>
        <v>0</v>
      </c>
      <c r="AE46" s="254">
        <f>INDEX(Problématiques_compétences!$D$3:$BA$118,MATCH(Progression_Cycle4!AE$4,Problématiques_compétences!$D$3:$D$118,0),28)</f>
        <v>0</v>
      </c>
      <c r="AF46" s="254">
        <f>INDEX(Problématiques_compétences!$D$3:$BA$118,MATCH(Progression_Cycle4!AF$4,Problématiques_compétences!$D$3:$D$118,0),28)</f>
        <v>0</v>
      </c>
      <c r="AG46" s="254">
        <f>INDEX(Problématiques_compétences!$D$3:$BA$118,MATCH(Progression_Cycle4!AG$4,Problématiques_compétences!$D$3:$D$118,0),28)</f>
        <v>0</v>
      </c>
      <c r="AH46" s="254">
        <f>INDEX(Problématiques_compétences!$D$3:$BA$118,MATCH(Progression_Cycle4!AH$4,Problématiques_compétences!$D$3:$D$118,0),28)</f>
        <v>0</v>
      </c>
      <c r="AI46" s="254">
        <f>INDEX(Problématiques_compétences!$D$3:$BA$118,MATCH(Progression_Cycle4!AI$4,Problématiques_compétences!$D$3:$D$118,0),28)</f>
        <v>0</v>
      </c>
      <c r="AJ46" s="254">
        <f>INDEX(Problématiques_compétences!$D$3:$BA$118,MATCH(Progression_Cycle4!AJ$4,Problématiques_compétences!$D$3:$D$118,0),28)</f>
        <v>0</v>
      </c>
      <c r="AK46" s="254">
        <f>INDEX(Problématiques_compétences!$D$3:$BA$118,MATCH(Progression_Cycle4!AK$4,Problématiques_compétences!$D$3:$D$118,0),28)</f>
        <v>0</v>
      </c>
      <c r="AL46" s="254">
        <f>INDEX(Problématiques_compétences!$D$3:$BA$118,MATCH(Progression_Cycle4!AL$4,Problématiques_compétences!$D$3:$D$118,0),28)</f>
        <v>0</v>
      </c>
    </row>
    <row r="47" spans="1:38" ht="42" customHeight="1">
      <c r="B47" s="81" t="s">
        <v>337</v>
      </c>
      <c r="C47" s="363" t="s">
        <v>37</v>
      </c>
      <c r="D47" s="347"/>
      <c r="E47" s="347"/>
      <c r="F47" s="343"/>
      <c r="G47" s="242" t="s">
        <v>92</v>
      </c>
      <c r="H47" s="255">
        <f t="shared" si="1"/>
        <v>2</v>
      </c>
      <c r="I47" s="254">
        <f>INDEX(Problématiques_compétences!$D$3:$BA$118,MATCH(Progression_Cycle4!I$4,Problématiques_compétences!$D$3:$D$118,0),29)</f>
        <v>0</v>
      </c>
      <c r="J47" s="254">
        <f>INDEX(Problématiques_compétences!$D$3:$BA$118,MATCH(Progression_Cycle4!J$4,Problématiques_compétences!$D$3:$D$118,0),29)</f>
        <v>0</v>
      </c>
      <c r="K47" s="254">
        <f>INDEX(Problématiques_compétences!$D$3:$BA$118,MATCH(Progression_Cycle4!K$4,Problématiques_compétences!$D$3:$D$118,0),29)</f>
        <v>0</v>
      </c>
      <c r="L47" s="254">
        <f>INDEX(Problématiques_compétences!$D$3:$BA$118,MATCH(Progression_Cycle4!L$4,Problématiques_compétences!$D$3:$D$118,0),29)</f>
        <v>0</v>
      </c>
      <c r="M47" s="254">
        <f>INDEX(Problématiques_compétences!$D$3:$BA$118,MATCH(Progression_Cycle4!M$4,Problématiques_compétences!$D$3:$D$118,0),29)</f>
        <v>0</v>
      </c>
      <c r="N47" s="254">
        <f>INDEX(Problématiques_compétences!$D$3:$BA$118,MATCH(Progression_Cycle4!N$4,Problématiques_compétences!$D$3:$D$118,0),29)</f>
        <v>0</v>
      </c>
      <c r="O47" s="254">
        <f>INDEX(Problématiques_compétences!$D$3:$BA$118,MATCH(Progression_Cycle4!O$4,Problématiques_compétences!$D$3:$D$118,0),29)</f>
        <v>0</v>
      </c>
      <c r="P47" s="254">
        <f>INDEX(Problématiques_compétences!$D$3:$BA$118,MATCH(Progression_Cycle4!P$4,Problématiques_compétences!$D$3:$D$118,0),29)</f>
        <v>0</v>
      </c>
      <c r="Q47" s="254">
        <f>INDEX(Problématiques_compétences!$D$3:$BA$118,MATCH(Progression_Cycle4!Q$4,Problématiques_compétences!$D$3:$D$118,0),29)</f>
        <v>0</v>
      </c>
      <c r="R47" s="254">
        <f>INDEX(Problématiques_compétences!$D$3:$BA$118,MATCH(Progression_Cycle4!R$4,Problématiques_compétences!$D$3:$D$118,0),29)</f>
        <v>0</v>
      </c>
      <c r="S47" s="254" t="str">
        <f>INDEX(Problématiques_compétences!$D$3:$BA$118,MATCH(Progression_Cycle4!S$4,Problématiques_compétences!$D$3:$D$118,0),29)</f>
        <v>x</v>
      </c>
      <c r="T47" s="254">
        <f>INDEX(Problématiques_compétences!$D$3:$BA$118,MATCH(Progression_Cycle4!T$4,Problématiques_compétences!$D$3:$D$118,0),29)</f>
        <v>0</v>
      </c>
      <c r="U47" s="254">
        <f>INDEX(Problématiques_compétences!$D$3:$BA$118,MATCH(Progression_Cycle4!U$4,Problématiques_compétences!$D$3:$D$118,0),29)</f>
        <v>0</v>
      </c>
      <c r="V47" s="254">
        <f>INDEX(Problématiques_compétences!$D$3:$BA$118,MATCH(Progression_Cycle4!V$4,Problématiques_compétences!$D$3:$D$118,0),29)</f>
        <v>0</v>
      </c>
      <c r="W47" s="254">
        <f>INDEX(Problématiques_compétences!$D$3:$BA$118,MATCH(Progression_Cycle4!W$4,Problématiques_compétences!$D$3:$D$118,0),29)</f>
        <v>0</v>
      </c>
      <c r="X47" s="254">
        <f>INDEX(Problématiques_compétences!$D$3:$BA$118,MATCH(Progression_Cycle4!X$4,Problématiques_compétences!$D$3:$D$118,0),29)</f>
        <v>0</v>
      </c>
      <c r="Y47" s="254">
        <f>INDEX(Problématiques_compétences!$D$3:$BA$118,MATCH(Progression_Cycle4!Y$4,Problématiques_compétences!$D$3:$D$118,0),29)</f>
        <v>0</v>
      </c>
      <c r="Z47" s="254">
        <f>INDEX(Problématiques_compétences!$D$3:$BA$118,MATCH(Progression_Cycle4!Z$4,Problématiques_compétences!$D$3:$D$118,0),29)</f>
        <v>0</v>
      </c>
      <c r="AA47" s="254">
        <f>INDEX(Problématiques_compétences!$D$3:$BA$118,MATCH(Progression_Cycle4!AA$4,Problématiques_compétences!$D$3:$D$118,0),29)</f>
        <v>0</v>
      </c>
      <c r="AB47" s="254">
        <f>INDEX(Problématiques_compétences!$D$3:$BA$118,MATCH(Progression_Cycle4!AB$4,Problématiques_compétences!$D$3:$D$118,0),29)</f>
        <v>0</v>
      </c>
      <c r="AC47" s="254">
        <f>INDEX(Problématiques_compétences!$D$3:$BA$118,MATCH(Progression_Cycle4!AC$4,Problématiques_compétences!$D$3:$D$118,0),29)</f>
        <v>0</v>
      </c>
      <c r="AD47" s="254">
        <f>INDEX(Problématiques_compétences!$D$3:$BA$118,MATCH(Progression_Cycle4!AD$4,Problématiques_compétences!$D$3:$D$118,0),29)</f>
        <v>0</v>
      </c>
      <c r="AE47" s="254">
        <f>INDEX(Problématiques_compétences!$D$3:$BA$118,MATCH(Progression_Cycle4!AE$4,Problématiques_compétences!$D$3:$D$118,0),29)</f>
        <v>0</v>
      </c>
      <c r="AF47" s="254">
        <f>INDEX(Problématiques_compétences!$D$3:$BA$118,MATCH(Progression_Cycle4!AF$4,Problématiques_compétences!$D$3:$D$118,0),29)</f>
        <v>0</v>
      </c>
      <c r="AG47" s="254">
        <f>INDEX(Problématiques_compétences!$D$3:$BA$118,MATCH(Progression_Cycle4!AG$4,Problématiques_compétences!$D$3:$D$118,0),29)</f>
        <v>0</v>
      </c>
      <c r="AH47" s="254">
        <f>INDEX(Problématiques_compétences!$D$3:$BA$118,MATCH(Progression_Cycle4!AH$4,Problématiques_compétences!$D$3:$D$118,0),29)</f>
        <v>0</v>
      </c>
      <c r="AI47" s="254" t="str">
        <f>INDEX(Problématiques_compétences!$D$3:$BA$118,MATCH(Progression_Cycle4!AI$4,Problématiques_compétences!$D$3:$D$118,0),29)</f>
        <v>x</v>
      </c>
      <c r="AJ47" s="254">
        <f>INDEX(Problématiques_compétences!$D$3:$BA$118,MATCH(Progression_Cycle4!AJ$4,Problématiques_compétences!$D$3:$D$118,0),29)</f>
        <v>0</v>
      </c>
      <c r="AK47" s="254">
        <f>INDEX(Problématiques_compétences!$D$3:$BA$118,MATCH(Progression_Cycle4!AK$4,Problématiques_compétences!$D$3:$D$118,0),29)</f>
        <v>0</v>
      </c>
      <c r="AL47" s="254">
        <f>INDEX(Problématiques_compétences!$D$4:$BA$117,MATCH(Progression_Cycle4!AL$4,Problématiques_compétences!$D$6:$D$116,0),29)</f>
        <v>0</v>
      </c>
    </row>
  </sheetData>
  <sheetProtection selectLockedCells="1"/>
  <mergeCells count="22">
    <mergeCell ref="D8:AL8"/>
    <mergeCell ref="D41:AL41"/>
    <mergeCell ref="A3:C3"/>
    <mergeCell ref="A21:A24"/>
    <mergeCell ref="A28:A33"/>
    <mergeCell ref="D21:AL21"/>
    <mergeCell ref="D28:AL28"/>
    <mergeCell ref="D34:AL34"/>
    <mergeCell ref="D38:AL38"/>
    <mergeCell ref="A4:G4"/>
    <mergeCell ref="A5:G5"/>
    <mergeCell ref="D13:AL13"/>
    <mergeCell ref="A38:A40"/>
    <mergeCell ref="A8:A12"/>
    <mergeCell ref="A13:A20"/>
    <mergeCell ref="I1:AL1"/>
    <mergeCell ref="I5:R5"/>
    <mergeCell ref="AC5:AL5"/>
    <mergeCell ref="B7:C7"/>
    <mergeCell ref="D7:G7"/>
    <mergeCell ref="A6:G6"/>
    <mergeCell ref="S5:AB5"/>
  </mergeCells>
  <conditionalFormatting sqref="I2:AL2">
    <cfRule type="cellIs" dxfId="0" priority="1" operator="equal">
      <formula>"P"</formula>
    </cfRule>
  </conditionalFormatting>
  <dataValidations count="29">
    <dataValidation allowBlank="1" showInputMessage="1" showErrorMessage="1" promptTitle="Informatique et programmation" prompt="Analyser le fonctionnement et la structure d’un objet" sqref="G46" xr:uid="{00000000-0002-0000-0400-000000000000}"/>
    <dataValidation allowBlank="1" showInputMessage="1" showErrorMessage="1" promptTitle="Design, innovation et créativité" prompt="Imaginer, synthétiser et formaliser une procédure, un protocole." sqref="D9" xr:uid="{00000000-0002-0000-0400-000001000000}"/>
    <dataValidation allowBlank="1" showInputMessage="1" showErrorMessage="1" promptTitle="Modélisation simulation OT" prompt="Mesurer des grandeurs de manière directe ou indirecte. " sqref="F10" xr:uid="{00000000-0002-0000-0400-000002000000}"/>
    <dataValidation allowBlank="1" showInputMessage="1" showErrorMessage="1" promptTitle="Design, innovation et créativité" prompt="Imaginer des solutions pour produire des objets et des éléments de programmes informatiques en réponse au besoin." sqref="D11 D18 D23 D20" xr:uid="{00000000-0002-0000-0400-00000300000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6" xr:uid="{00000000-0002-0000-0400-000004000000}"/>
    <dataValidation allowBlank="1" showInputMessage="1" showErrorMessage="1" promptTitle="Modélisation simulation OT" prompt="Respecter une procédure de travail garantissant un résultat en respectant les règles de sécurité et d’utilisation des outils mis à disposition." sqref="F42 F9 F19" xr:uid="{00000000-0002-0000-0400-000005000000}"/>
    <dataValidation allowBlank="1" showInputMessage="1" showErrorMessage="1" promptTitle="Informatique et programmation" prompt="Écrire, mettre au point (tester, corriger) et exécuter un programme commandant un système réel et vérifier le comportement attendu." sqref="G20 G32" xr:uid="{00000000-0002-0000-0400-000006000000}"/>
    <dataValidation allowBlank="1" showInputMessage="1" showErrorMessage="1" promptTitle="Modélisation simulation OT" prompt="Associer des solutions techniques à des fonctions." sqref="F17" xr:uid="{00000000-0002-0000-0400-000007000000}"/>
    <dataValidation allowBlank="1" showInputMessage="1" showErrorMessage="1" promptTitle="Modélisation simulation OT" prompt="Identifier le(s) matériau(x), les flux d’énergie et d’information sur un objet et décrire les transformations qui s’opèrent." sqref="F15" xr:uid="{00000000-0002-0000-0400-000008000000}"/>
    <dataValidation allowBlank="1" showInputMessage="1" showErrorMessage="1" promptTitle="OT, Changts  induits société" sqref="D15" xr:uid="{00000000-0002-0000-0400-000009000000}"/>
    <dataValidation allowBlank="1" showInputMessage="1" showErrorMessage="1" promptTitle="Design, innovation et créativité" prompt="Réaliser, de manière collaborative, le prototype d’un objet pour valider une solution" sqref="D19" xr:uid="{00000000-0002-0000-0400-00000A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4" xr:uid="{00000000-0002-0000-0400-00000B000000}"/>
    <dataValidation allowBlank="1" showInputMessage="1" showErrorMessage="1" promptTitle="OT, Changts  induits société" prompt="Lire, utiliser et produire, à l’aide d’outils de représentation numérique, des choix de solutions sous forme de dessins ou de schémas." sqref="E23 E31" xr:uid="{00000000-0002-0000-0400-00000C000000}"/>
    <dataValidation allowBlank="1" showInputMessage="1" showErrorMessage="1" promptTitle="OT, Changts  induits société" prompt="Exprimer sa pensée à l’aide d’outils de description adaptés : croquis, schémas, graphes, diagrammes, tableaux. " sqref="E22" xr:uid="{00000000-0002-0000-0400-00000D000000}"/>
    <dataValidation allowBlank="1" showInputMessage="1" showErrorMessage="1" promptTitle="Design, innovation et créativité" prompt="Présenter à l’oral et à l’aide de supports numériques multimédia des solutions techniques au moment des revues de projet." sqref="D24" xr:uid="{00000000-0002-0000-0400-00000E000000}"/>
    <dataValidation allowBlank="1" showInputMessage="1" showErrorMessage="1" promptTitle="Modélisation simulation OT" prompt="Décrire, en utilisant les outils et langages de descriptions adaptés, le fonctionnement, la structure et le comportement des objets." sqref="F26" xr:uid="{00000000-0002-0000-0400-00000F000000}"/>
    <dataValidation allowBlank="1" showInputMessage="1" showErrorMessage="1" promptTitle="OT, Changts  induits société" prompt="Élaborer un document qui synthétise ces comparaisons et ces commentaires." sqref="E26" xr:uid="{00000000-0002-0000-0400-000010000000}"/>
    <dataValidation allowBlank="1" showInputMessage="1" showErrorMessage="1" promptTitle="Informatique et programmation" prompt="Écrire un programme dans lequel des actions sont déclenchées par des événements extérieurs." sqref="G27 G33" xr:uid="{00000000-0002-0000-0400-000011000000}"/>
    <dataValidation allowBlank="1" showInputMessage="1" showErrorMessage="1" promptTitle="Modélisation simulation OT" prompt="Simuler numériquement la structure et/ou le comportement d’un objet. Interpréter le comportement de l’objet technique et le communiquer en argumentant." sqref="F29" xr:uid="{00000000-0002-0000-0400-000012000000}"/>
    <dataValidation allowBlank="1" showInputMessage="1" showErrorMessage="1" promptTitle="Design, innovation et créativité" prompt="Organiser, structurer et stocker des ressources numériques." sqref="D30" xr:uid="{00000000-0002-0000-0400-000013000000}"/>
    <dataValidation allowBlank="1" showInputMessage="1" showErrorMessage="1" promptTitle="OT, Changts  induits société" prompt="Regrouper des objets en familles et lignées." sqref="E37 E39" xr:uid="{00000000-0002-0000-0400-000014000000}"/>
    <dataValidation allowBlank="1" showInputMessage="1" showErrorMessage="1" promptTitle="OT, Changts  induits société" prompt="Comparer et commenter les évolutions des objets et systèmes" sqref="E36" xr:uid="{00000000-0002-0000-0400-000015000000}"/>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5" xr:uid="{00000000-0002-0000-0400-000016000000}"/>
    <dataValidation allowBlank="1" showInputMessage="1" showErrorMessage="1" promptTitle="OT, Changts  induits société" prompt="_x000a__x000a_Comparer et commenter les évolutions des objets en articulant différents points de vue : fonctionnel, structurel, environnemental, technique, scientifique, social, historique, économique." sqref="E40" xr:uid="{00000000-0002-0000-0400-000017000000}"/>
    <dataValidation allowBlank="1" showInputMessage="1" showErrorMessage="1" promptTitle="Modélisation simulation OT" prompt="Analyser le fonctionnement et la structure d’un objet, identifier les entrées et sorties." sqref="F43" xr:uid="{00000000-0002-0000-0400-000018000000}"/>
    <dataValidation allowBlank="1" showInputMessage="1" showErrorMessage="1" promptTitle="Modélisation simulation OT" prompt="Interpréter des résultats expérimentaux, en tirer une conclusion et la communiquer en argumentant." sqref="F44" xr:uid="{00000000-0002-0000-0400-000019000000}"/>
    <dataValidation allowBlank="1" showInputMessage="1" showErrorMessage="1" promptTitle="Modelisation simulation OT" prompt="Utiliser une modélisation pour comprendre, formaliser, partager, construire, investiguer, prouver." sqref="F45" xr:uid="{00000000-0002-0000-0400-00001A000000}"/>
    <dataValidation allowBlank="1" showInputMessage="1" showErrorMessage="1" promptTitle="Informatique et programmation" prompt="Analyser le comportement attendu d’un système réel et décomposer le problème posé en sous-problèmes afin de structurer un programme de commande." sqref="G47" xr:uid="{00000000-0002-0000-0400-00001C000000}"/>
    <dataValidation allowBlank="1" showInputMessage="1" showErrorMessage="1" promptTitle="Design, innovation et créativité" prompt="Participer à l’organisation de projets, la définition des rôles, la planification (se projeter et anticiper) et aux revues de projet." sqref="D12" xr:uid="{00000000-0002-0000-0400-00001D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DD0E3-0DE3-4C22-9164-FD5F0BB82897}">
  <sheetPr>
    <tabColor theme="0"/>
  </sheetPr>
  <dimension ref="A1:Y35"/>
  <sheetViews>
    <sheetView zoomScale="85" zoomScaleNormal="85" workbookViewId="0">
      <selection sqref="A1:A2"/>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e">
        <f>INDEX(Problématiques_compétences!$A$3:$D$118,QUOTIENT(MATCH(A1,Problématiques_compétences!$D$3:$D$118,0),8)*8+2,1)</f>
        <v>#N/A</v>
      </c>
      <c r="C2" s="886"/>
      <c r="D2" s="886"/>
      <c r="E2" s="886"/>
      <c r="F2" s="886"/>
      <c r="G2" s="886"/>
      <c r="H2" s="886"/>
      <c r="I2" s="886"/>
      <c r="J2" s="886"/>
      <c r="K2" s="886"/>
      <c r="L2" s="886"/>
      <c r="M2" s="887"/>
      <c r="N2" s="407" t="e">
        <f>INDEX(Problématiques_compétences!$B$3:$D$118,MATCH(A1,Problématiques_compétences!$D$3:$D$118,0),1)</f>
        <v>#N/A</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
      </c>
      <c r="B4" s="872" t="e">
        <f ca="1">INDEX(Programme!$B$4:$C$46,MATCH(A4,Programme!$B$4:$B$46,0),2)</f>
        <v>#N/A</v>
      </c>
      <c r="C4" s="872"/>
      <c r="D4" s="872"/>
      <c r="E4" s="872"/>
      <c r="F4" s="872"/>
      <c r="G4" s="872"/>
      <c r="H4" s="872"/>
      <c r="I4" s="872"/>
      <c r="J4" s="872"/>
      <c r="K4" s="417" t="e">
        <f t="array" aca="1" ref="K4" ca="1">INDEX(Programme!$B$3:$G$46,MATCH($A$4,Programme!$B$3:$B$46,0),SMALL(IF(INDIRECT("Programme!D"&amp;MATCH($A$4,Programme!$B$1:$B$46,0)):INDIRECT("Programme!G"&amp;MATCH($A$4,Programme!$B$1:$B$46,0))&lt;&gt;"",COLUMN(Programme!$D$3:$G$3)-1),ROW()-3))</f>
        <v>#N/A</v>
      </c>
      <c r="L4" s="873" t="str">
        <f ca="1">IFERROR(INDEX(Programme!$I$7:$J$94,MATCH($K4,Programme!$I$7:$I$94,0),2),"")</f>
        <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
      </c>
      <c r="B6" s="872" t="str">
        <f ca="1">IFERROR(INDEX(Programme!$B$4:$C$46,MATCH(A6,Programme!$B$4:$B$46,0),2),"")</f>
        <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
      </c>
      <c r="L6" s="873" t="str">
        <f ca="1">IFERROR(INDEX(Programme!$I$7:$J$94,MATCH($K6,Programme!$I$7:$I$94,0),2),"")</f>
        <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
      </c>
      <c r="B8" s="872" t="str">
        <f ca="1">IFERROR(INDEX(Programme!$B$4:$C$46,MATCH(A8,Programme!$B$4:$B$46,0),2),"")</f>
        <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
      </c>
      <c r="L8" s="873" t="str">
        <f ca="1">IFERROR(INDEX(Programme!$I$7:$J$94,MATCH($K8,Programme!$I$7:$I$94,0),2),"")</f>
        <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872" t="str">
        <f ca="1">IFERROR(INDEX(Programme!$B$4:$C$46,MATCH(A10,Programme!$B$4:$B$46,0),2),"")</f>
        <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
      </c>
      <c r="L10" s="873" t="str">
        <f ca="1">IFERROR(INDEX(Programme!$I$7:$J$94,MATCH($K10,Programme!$I$7:$I$94,0),2),"")</f>
        <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58" t="s">
        <v>70</v>
      </c>
      <c r="B12" s="568"/>
      <c r="C12" s="568"/>
      <c r="D12" s="568"/>
      <c r="E12" s="568"/>
      <c r="F12" s="568"/>
      <c r="G12" s="568"/>
      <c r="H12" s="568"/>
      <c r="I12" s="568"/>
      <c r="J12" s="568"/>
      <c r="K12" s="430"/>
      <c r="L12" s="460"/>
      <c r="M12" s="432"/>
      <c r="N12" s="461" t="s">
        <v>72</v>
      </c>
      <c r="O12" s="462"/>
      <c r="P12" s="462"/>
      <c r="Q12" s="462"/>
      <c r="R12" s="462"/>
      <c r="S12" s="462"/>
      <c r="T12" s="462"/>
      <c r="U12" s="462"/>
      <c r="V12" s="462"/>
      <c r="W12" s="462"/>
      <c r="X12" s="462"/>
      <c r="Y12" s="463"/>
    </row>
    <row r="13" spans="1:25" ht="30.75" customHeight="1">
      <c r="A13" s="894"/>
      <c r="B13" s="894"/>
      <c r="C13" s="894"/>
      <c r="D13" s="894"/>
      <c r="E13" s="894"/>
      <c r="F13" s="894"/>
      <c r="G13" s="894"/>
      <c r="H13" s="894"/>
      <c r="I13" s="894"/>
      <c r="J13" s="894"/>
      <c r="K13" s="894"/>
      <c r="L13" s="894"/>
      <c r="M13" s="894"/>
      <c r="N13" s="1018"/>
      <c r="O13" s="1018"/>
      <c r="P13" s="1018"/>
      <c r="Q13" s="1018"/>
      <c r="R13" s="1018"/>
      <c r="S13" s="1018"/>
      <c r="T13" s="1018"/>
      <c r="U13" s="1018"/>
      <c r="V13" s="1018"/>
      <c r="W13" s="1018"/>
      <c r="X13" s="1018"/>
      <c r="Y13" s="1018"/>
    </row>
    <row r="14" spans="1:25" ht="30.75" customHeight="1">
      <c r="A14" s="894"/>
      <c r="B14" s="894"/>
      <c r="C14" s="894"/>
      <c r="D14" s="894"/>
      <c r="E14" s="894"/>
      <c r="F14" s="894"/>
      <c r="G14" s="894"/>
      <c r="H14" s="894"/>
      <c r="I14" s="894"/>
      <c r="J14" s="894"/>
      <c r="K14" s="894"/>
      <c r="L14" s="894"/>
      <c r="M14" s="894"/>
      <c r="N14" s="1018"/>
      <c r="O14" s="1018"/>
      <c r="P14" s="1018"/>
      <c r="Q14" s="1018"/>
      <c r="R14" s="1018"/>
      <c r="S14" s="1018"/>
      <c r="T14" s="1018"/>
      <c r="U14" s="1018"/>
      <c r="V14" s="1018"/>
      <c r="W14" s="1018"/>
      <c r="X14" s="1018"/>
      <c r="Y14" s="1018"/>
    </row>
    <row r="15" spans="1:25" ht="16.5" customHeight="1">
      <c r="A15" s="464" t="s">
        <v>376</v>
      </c>
      <c r="B15" s="1019"/>
      <c r="C15" s="1020"/>
      <c r="D15" s="1020"/>
      <c r="E15" s="1020"/>
      <c r="F15" s="1020"/>
      <c r="G15" s="1020"/>
      <c r="H15" s="1020"/>
      <c r="I15" s="1020"/>
      <c r="J15" s="1020"/>
      <c r="K15" s="1021"/>
      <c r="L15" s="1022"/>
      <c r="M15" s="1023"/>
      <c r="N15" s="1024" t="s">
        <v>377</v>
      </c>
      <c r="O15" s="1025"/>
      <c r="P15" s="1025"/>
      <c r="Q15" s="1025"/>
      <c r="R15" s="1025"/>
      <c r="S15" s="1025"/>
      <c r="T15" s="1025"/>
      <c r="U15" s="1025"/>
      <c r="V15" s="1025"/>
      <c r="W15" s="1025"/>
      <c r="X15" s="1025"/>
      <c r="Y15" s="470"/>
    </row>
    <row r="16" spans="1:25" ht="30" customHeight="1" thickBot="1">
      <c r="A16" s="1026"/>
      <c r="B16" s="1026"/>
      <c r="C16" s="1026"/>
      <c r="D16" s="1026"/>
      <c r="E16" s="1026"/>
      <c r="F16" s="1026"/>
      <c r="G16" s="1026"/>
      <c r="H16" s="1026"/>
      <c r="I16" s="1026"/>
      <c r="J16" s="1026"/>
      <c r="K16" s="1026"/>
      <c r="L16" s="1026"/>
      <c r="M16" s="1026"/>
      <c r="N16" s="1027"/>
      <c r="O16" s="1027"/>
      <c r="P16" s="1027"/>
      <c r="Q16" s="1027"/>
      <c r="R16" s="1027"/>
      <c r="S16" s="1027"/>
      <c r="T16" s="1027"/>
      <c r="U16" s="1027"/>
      <c r="V16" s="1027"/>
      <c r="W16" s="1027"/>
      <c r="X16" s="1027"/>
      <c r="Y16" s="1027"/>
    </row>
    <row r="17" spans="1:25" ht="30" customHeight="1" thickBot="1">
      <c r="A17" s="1026"/>
      <c r="B17" s="1026"/>
      <c r="C17" s="1026"/>
      <c r="D17" s="1026"/>
      <c r="E17" s="1026"/>
      <c r="F17" s="1026"/>
      <c r="G17" s="1026"/>
      <c r="H17" s="1026"/>
      <c r="I17" s="1026"/>
      <c r="J17" s="1026"/>
      <c r="K17" s="1026"/>
      <c r="L17" s="1026"/>
      <c r="M17" s="1026"/>
      <c r="N17" s="1027"/>
      <c r="O17" s="1027"/>
      <c r="P17" s="1027"/>
      <c r="Q17" s="1027"/>
      <c r="R17" s="1027"/>
      <c r="S17" s="1027"/>
      <c r="T17" s="1027"/>
      <c r="U17" s="1027"/>
      <c r="V17" s="1027"/>
      <c r="W17" s="1027"/>
      <c r="X17" s="1027"/>
      <c r="Y17" s="1027"/>
    </row>
    <row r="18" spans="1:25" ht="16.5" customHeight="1" thickBot="1">
      <c r="A18" s="610" t="s">
        <v>73</v>
      </c>
      <c r="B18" s="462"/>
      <c r="C18" s="462"/>
      <c r="D18" s="462"/>
      <c r="E18" s="462"/>
      <c r="F18" s="1028" t="s">
        <v>1073</v>
      </c>
      <c r="G18" s="1028"/>
      <c r="H18" s="1028"/>
      <c r="I18" s="1028"/>
      <c r="J18" s="1028"/>
      <c r="K18" s="1028"/>
      <c r="L18" s="1028"/>
      <c r="M18" s="1028"/>
      <c r="N18" s="896" t="s">
        <v>382</v>
      </c>
      <c r="O18" s="896"/>
      <c r="P18" s="896"/>
      <c r="Q18" s="896"/>
      <c r="R18" s="897"/>
      <c r="S18" s="897"/>
      <c r="T18" s="897"/>
      <c r="U18" s="897"/>
      <c r="V18" s="898" t="s">
        <v>1075</v>
      </c>
      <c r="W18" s="898"/>
      <c r="X18" s="898"/>
      <c r="Y18" s="898"/>
    </row>
    <row r="19" spans="1:25" ht="15.75" thickBot="1">
      <c r="A19" s="473" t="s">
        <v>465</v>
      </c>
      <c r="B19" s="474"/>
      <c r="C19" s="474"/>
      <c r="D19" s="474"/>
      <c r="E19" s="474"/>
      <c r="F19" s="474"/>
      <c r="G19" s="474"/>
      <c r="H19" s="448"/>
      <c r="I19" s="448"/>
      <c r="J19" s="448"/>
      <c r="K19" s="475"/>
      <c r="L19" s="475"/>
      <c r="M19" s="476"/>
      <c r="N19" s="896"/>
      <c r="O19" s="896"/>
      <c r="P19" s="896"/>
      <c r="Q19" s="896"/>
      <c r="R19" s="899"/>
      <c r="S19" s="899"/>
      <c r="T19" s="899"/>
      <c r="U19" s="899"/>
      <c r="V19" s="994"/>
      <c r="W19" s="994"/>
      <c r="X19" s="994"/>
      <c r="Y19" s="994"/>
    </row>
    <row r="20" spans="1:25">
      <c r="A20" s="477"/>
      <c r="B20" s="469"/>
      <c r="C20" s="469"/>
      <c r="D20" s="469"/>
      <c r="E20" s="469"/>
      <c r="F20" s="469"/>
      <c r="G20" s="469"/>
      <c r="H20" s="439"/>
      <c r="I20" s="439"/>
      <c r="J20" s="439"/>
      <c r="K20" s="478"/>
      <c r="L20" s="478"/>
      <c r="M20" s="478"/>
      <c r="N20" s="478"/>
      <c r="O20" s="553"/>
      <c r="P20" s="553"/>
      <c r="Q20" s="553"/>
      <c r="R20" s="553"/>
      <c r="S20" s="553"/>
      <c r="T20" s="553"/>
      <c r="U20" s="553"/>
      <c r="V20" s="553"/>
      <c r="W20" s="553"/>
      <c r="X20" s="553"/>
      <c r="Y20" s="553"/>
    </row>
    <row r="21" spans="1:25" ht="15.75">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02" t="s">
        <v>75</v>
      </c>
      <c r="D22" s="902"/>
      <c r="E22" s="902"/>
      <c r="F22" s="902"/>
      <c r="G22" s="902"/>
      <c r="H22" s="902"/>
      <c r="I22" s="902"/>
      <c r="J22" s="902"/>
      <c r="K22" s="902"/>
      <c r="L22" s="903" t="s">
        <v>76</v>
      </c>
      <c r="M22" s="903"/>
      <c r="N22" s="903"/>
      <c r="O22" s="903"/>
      <c r="P22" s="903"/>
      <c r="Q22" s="903"/>
      <c r="R22" s="903"/>
      <c r="S22" s="902" t="s">
        <v>77</v>
      </c>
      <c r="T22" s="902"/>
      <c r="U22" s="902"/>
      <c r="V22" s="902"/>
      <c r="W22" s="902"/>
      <c r="X22" s="902"/>
      <c r="Y22" s="902"/>
    </row>
    <row r="23" spans="1:25" ht="33.75" customHeight="1">
      <c r="A23" s="904" t="s">
        <v>78</v>
      </c>
      <c r="B23" s="904"/>
      <c r="C23" s="905"/>
      <c r="D23" s="905"/>
      <c r="E23" s="905"/>
      <c r="F23" s="905"/>
      <c r="G23" s="905"/>
      <c r="H23" s="905"/>
      <c r="I23" s="905"/>
      <c r="J23" s="905"/>
      <c r="K23" s="905"/>
      <c r="L23" s="906"/>
      <c r="M23" s="906"/>
      <c r="N23" s="906"/>
      <c r="O23" s="906"/>
      <c r="P23" s="906"/>
      <c r="Q23" s="906"/>
      <c r="R23" s="906"/>
      <c r="S23" s="905"/>
      <c r="T23" s="905"/>
      <c r="U23" s="905"/>
      <c r="V23" s="905"/>
      <c r="W23" s="905"/>
      <c r="X23" s="905"/>
      <c r="Y23" s="905"/>
    </row>
    <row r="24" spans="1:25" ht="45" customHeight="1">
      <c r="A24" s="907" t="s">
        <v>79</v>
      </c>
      <c r="B24" s="907"/>
      <c r="C24" s="1029"/>
      <c r="D24" s="1029"/>
      <c r="E24" s="1029"/>
      <c r="F24" s="1029"/>
      <c r="G24" s="1029"/>
      <c r="H24" s="1029"/>
      <c r="I24" s="1029"/>
      <c r="J24" s="1029"/>
      <c r="K24" s="1029"/>
      <c r="L24" s="1030"/>
      <c r="M24" s="1030"/>
      <c r="N24" s="1030"/>
      <c r="O24" s="1030"/>
      <c r="P24" s="1030"/>
      <c r="Q24" s="1030"/>
      <c r="R24" s="1030"/>
      <c r="S24" s="1031"/>
      <c r="T24" s="1031"/>
      <c r="U24" s="1031"/>
      <c r="V24" s="1031"/>
      <c r="W24" s="1031"/>
      <c r="X24" s="1031"/>
      <c r="Y24" s="1031"/>
    </row>
    <row r="25" spans="1:25" ht="45" customHeight="1">
      <c r="A25" s="908" t="s">
        <v>81</v>
      </c>
      <c r="B25" s="908"/>
      <c r="C25" s="1029"/>
      <c r="D25" s="1029"/>
      <c r="E25" s="1029"/>
      <c r="F25" s="1029"/>
      <c r="G25" s="1029"/>
      <c r="H25" s="1029"/>
      <c r="I25" s="1029"/>
      <c r="J25" s="1029"/>
      <c r="K25" s="1029"/>
      <c r="L25" s="905"/>
      <c r="M25" s="905"/>
      <c r="N25" s="905"/>
      <c r="O25" s="905"/>
      <c r="P25" s="905"/>
      <c r="Q25" s="905"/>
      <c r="R25" s="905"/>
      <c r="S25" s="905"/>
      <c r="T25" s="905"/>
      <c r="U25" s="905"/>
      <c r="V25" s="905"/>
      <c r="W25" s="905"/>
      <c r="X25" s="905"/>
      <c r="Y25" s="905"/>
    </row>
    <row r="26" spans="1:25" ht="45" customHeight="1">
      <c r="A26" s="908" t="s">
        <v>80</v>
      </c>
      <c r="B26" s="908"/>
      <c r="C26" s="1030"/>
      <c r="D26" s="1030"/>
      <c r="E26" s="1030"/>
      <c r="F26" s="1030"/>
      <c r="G26" s="1030"/>
      <c r="H26" s="1030"/>
      <c r="I26" s="1030"/>
      <c r="J26" s="1030"/>
      <c r="K26" s="1030"/>
      <c r="L26" s="905"/>
      <c r="M26" s="905"/>
      <c r="N26" s="905"/>
      <c r="O26" s="905"/>
      <c r="P26" s="905"/>
      <c r="Q26" s="905"/>
      <c r="R26" s="905"/>
      <c r="S26" s="905"/>
      <c r="T26" s="905"/>
      <c r="U26" s="905"/>
      <c r="V26" s="905"/>
      <c r="W26" s="905"/>
      <c r="X26" s="905"/>
      <c r="Y26" s="905"/>
    </row>
    <row r="27" spans="1:25" ht="45" customHeight="1">
      <c r="A27" s="907" t="s">
        <v>542</v>
      </c>
      <c r="B27" s="907"/>
      <c r="C27" s="1031"/>
      <c r="D27" s="1031"/>
      <c r="E27" s="1031"/>
      <c r="F27" s="1031"/>
      <c r="G27" s="1031"/>
      <c r="H27" s="1031"/>
      <c r="I27" s="1031"/>
      <c r="J27" s="1031"/>
      <c r="K27" s="1031"/>
      <c r="L27" s="1030"/>
      <c r="M27" s="1030"/>
      <c r="N27" s="1030"/>
      <c r="O27" s="1030"/>
      <c r="P27" s="1030"/>
      <c r="Q27" s="1030"/>
      <c r="R27" s="1030"/>
      <c r="S27" s="1031"/>
      <c r="T27" s="1031"/>
      <c r="U27" s="1031"/>
      <c r="V27" s="1031"/>
      <c r="W27" s="1031"/>
      <c r="X27" s="1031"/>
      <c r="Y27" s="1031"/>
    </row>
    <row r="30" spans="1:25">
      <c r="D30" s="394"/>
    </row>
    <row r="32" spans="1:25">
      <c r="I32" s="396"/>
      <c r="J32" s="396"/>
      <c r="K32" s="396"/>
    </row>
    <row r="33" spans="9:11" ht="15.75">
      <c r="I33" s="397"/>
      <c r="J33" s="398"/>
      <c r="K33" s="395"/>
    </row>
    <row r="34" spans="9:11">
      <c r="I34" s="396"/>
      <c r="J34" s="395"/>
    </row>
    <row r="35" spans="9:11">
      <c r="I35" s="396"/>
    </row>
  </sheetData>
  <sheetProtection sheet="1" objects="1" scenarios="1"/>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F18:M18"/>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1DF7A-2D2E-4784-BA76-CF3B32853EB3}">
  <dimension ref="A1:Y35"/>
  <sheetViews>
    <sheetView workbookViewId="0">
      <selection activeCell="F1" sqref="F1"/>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481</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15.75" thickBot="1">
      <c r="A2" s="884"/>
      <c r="B2" s="885" t="str">
        <f>INDEX([1]Problématiques_compétences!$A$3:$D$118,QUOTIENT(MATCH(A1,[1]Problématiques_compétences!$D$3:$D$118,0),8)*8+2,1)</f>
        <v>1) Stabilité d'une structure</v>
      </c>
      <c r="C2" s="886"/>
      <c r="D2" s="886"/>
      <c r="E2" s="886"/>
      <c r="F2" s="886"/>
      <c r="G2" s="886"/>
      <c r="H2" s="886"/>
      <c r="I2" s="886"/>
      <c r="J2" s="886"/>
      <c r="K2" s="886"/>
      <c r="L2" s="886"/>
      <c r="M2" s="887"/>
      <c r="N2" s="407" t="str">
        <f>INDEX([1]Problématiques_compétences!$B$3:$D$118,MATCH(A1,[1]Problématiques_compétences!$D$3:$D$118,0),1)</f>
        <v>Pourquoi une construction treillis permet-elle de franchir un obstacle sans danger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[1]Problématiques_compétences!$F$2:$AK$2,SMALL(IF(INDIRECT("Problématiques_compétences!F"&amp;MATCH($A$1,[1]Problématiques_compétences!$D$1:$D$118,0)):INDIRECT("Problématiques_compétences!AK"&amp;MATCH($A$1,[1]Problématiques_compétences!$D$1:$D$118,0))="x",COLUMN([1]Problématiques_compétences!$F$1:$AK$1)-5,""),ROW()-3)),"")</f>
        <v>CS 1.7</v>
      </c>
      <c r="B4" s="872" t="str">
        <f ca="1">INDEX([1]Programme!$B$4:$C$46,MATCH(A4,[1]Programme!$B$4:$B$46,0),2)</f>
        <v>► Interpréter des résultats expérimentaux, en tirer une conclusion et la communiquer en argumentant.</v>
      </c>
      <c r="C4" s="872"/>
      <c r="D4" s="872"/>
      <c r="E4" s="872"/>
      <c r="F4" s="872"/>
      <c r="G4" s="872"/>
      <c r="H4" s="872"/>
      <c r="I4" s="872"/>
      <c r="J4" s="872"/>
      <c r="K4" s="417" t="str">
        <f t="array" aca="1" ref="K4" ca="1">INDEX([1]Programme!$B$3:$G$46,MATCH($A$4,[1]Programme!$B$3:$B$46,0),SMALL(IF(INDIRECT("Programme!D"&amp;MATCH($A$4,[1]Programme!$B$1:$B$46,0)):INDIRECT("Programme!G"&amp;MATCH($A$4,[1]Programme!$B$1:$B$46,0))&lt;&gt;"",COLUMN([1]Programme!$D$3:$G$3)-1),ROW()-3))</f>
        <v>MSOST.1.7</v>
      </c>
      <c r="L4" s="873" t="str">
        <f ca="1">IFERROR(INDEX([1]Programme!$I$7:$J$94,MATCH($K4,[1]Programme!$I$7:$I$94,0),2),"")</f>
        <v>Interpréter des résultats expérimentaux, en tirer une conclusion et la communiquer en argumentant.</v>
      </c>
      <c r="M4" s="873"/>
      <c r="N4" s="873"/>
      <c r="O4" s="873"/>
      <c r="P4" s="873"/>
      <c r="Q4" s="878"/>
      <c r="R4" s="876" t="str">
        <f ca="1">IFERROR(INDEX([1]Programme!$K$7:$L$94,MATCH($K4&amp;".1",[1]Programme!$K$7:$K$94,0),2),"")&amp;IFERROR(INDEX([1]Programme!$K$7:$L$94,MATCH($K4&amp;".2",[1]Programme!$K$7:$K$94,0),2),"")&amp;IFERROR(INDEX([1]Programme!$K$7:$L$94,MATCH($K4&amp;".3",[1]Programme!$K$7:$K$94,0),2),"")&amp;IFERROR(INDEX([1]Programme!$K$7:$L$94,MATCH($K4&amp;".4",[1]Programme!$K$7:$K$94,0),2),"")&amp;IFERROR(INDEX([1]Programme!$K$7:$L$94,MATCH($K4&amp;".5",[1]Programme!$K$7:$K$94,0),2),"")&amp;IFERROR(INDEX([1]Programme!$K$7:$L$94,MATCH($K4&amp;".6",[1]Programme!$K$7:$K$94,0),2),"")</f>
        <v>Notions d’écarts entre les attentes fixées par le cahier des charges et les résultats de l’expérimentation.</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IFERROR(INDEX([1]Programme!$B$3:$G$46,MATCH($A$4,[1]Programme!$B$3:$B$46,0),SMALL(IF(INDIRECT("Programme!D"&amp;MATCH($A$4,[1]Programme!$B$1:$B$46,0)):INDIRECT("Programme!G"&amp;MATCH($A$4,[1]Programme!$B$1:$B$46,0))&lt;&gt;"",COLUMN([1]Programme!$D$3:$G$3)-1),ROW()-3)),"")</f>
        <v/>
      </c>
      <c r="L5" s="879" t="str">
        <f ca="1">IFERROR(INDEX([1]Programme!$I$7:$J$94,MATCH($K5,[1]Programme!$I$7:$I$94,0),2),"")</f>
        <v/>
      </c>
      <c r="M5" s="879"/>
      <c r="N5" s="879"/>
      <c r="O5" s="879"/>
      <c r="P5" s="879"/>
      <c r="Q5" s="880"/>
      <c r="R5" s="881" t="str">
        <f ca="1">IFERROR(INDEX([1]Programme!$K$7:$L$94,MATCH($K5&amp;".1",[1]Programme!$K$7:$K$94,0),2),"")&amp;IFERROR(INDEX([1]Programme!$K$7:$L$94,MATCH($K5&amp;".2",[1]Programme!$K$7:$K$94,0),2),"")&amp;IFERROR(INDEX([1]Programme!$K$7:$L$94,MATCH($K5&amp;".3",[1]Programme!$K$7:$K$94,0),2),"")&amp;IFERROR(INDEX([1]Programme!$K$7:$L$94,MATCH($K5&amp;".4",[1]Programme!$K$7:$K$94,0),2),"")&amp;IFERROR(INDEX([1]Programme!$K$7:$L$94,MATCH($K5&amp;".5",[1]Programme!$K$7:$K$94,0),2),"")&amp;IFERROR(INDEX([1]Programme!$K$7:$L$94,MATCH($K5&amp;".6",[1]Programme!$K$7:$K$94,0),2),"")</f>
        <v/>
      </c>
      <c r="S5" s="879"/>
      <c r="T5" s="879"/>
      <c r="U5" s="879"/>
      <c r="V5" s="879"/>
      <c r="W5" s="879"/>
      <c r="X5" s="879"/>
      <c r="Y5" s="882"/>
    </row>
    <row r="6" spans="1:25" ht="32.25" customHeight="1">
      <c r="A6" s="422" t="str">
        <f t="array" aca="1" ref="A6" ca="1">IFERROR(INDEX([1]Problématiques_compétences!$F$2:$AK$2,SMALL(IF(INDIRECT("Problématiques_compétences!F"&amp;MATCH($A$1,[1]Problématiques_compétences!$D$1:$D$118,0)):INDIRECT("Problématiques_compétences!AK"&amp;MATCH($A$1,[1]Problématiques_compétences!$D$1:$D$118,0))="x",COLUMN([1]Problématiques_compétences!$F$1:$AK$1)-5,""),ROW()-4)),"")</f>
        <v>CT 2.4</v>
      </c>
      <c r="B6" s="872" t="str">
        <f ca="1">IFERROR(INDEX([1]Programme!$B$4:$C$46,MATCH(A6,[1]Programme!$B$4:$B$46,0),2),"")</f>
        <v>► Associer des solutions techniques à des fonctions.</v>
      </c>
      <c r="C6" s="872"/>
      <c r="D6" s="872"/>
      <c r="E6" s="872"/>
      <c r="F6" s="872"/>
      <c r="G6" s="872"/>
      <c r="H6" s="872"/>
      <c r="I6" s="872"/>
      <c r="J6" s="872"/>
      <c r="K6" s="417" t="str">
        <f t="array" aca="1" ref="K6" ca="1">IFERROR(INDEX([1]Programme!$B$3:$G$46,MATCH($A$6,[1]Programme!$B$3:$B$46,0),SMALL(IF(INDIRECT("Programme!D"&amp;MATCH($A$6,[1]Programme!$B$1:$B$46,0)):INDIRECT("Programme!G"&amp;MATCH($A$6,[1]Programme!$B$1:$B$46,0))&lt;&gt;"",COLUMN([1]Programme!$D$3:$G$3)-1),ROW()-5)),"")</f>
        <v>MSOST.1.2</v>
      </c>
      <c r="L6" s="873" t="str">
        <f ca="1">IFERROR(INDEX([1]Programme!$I$7:$J$94,MATCH($K6,[1]Programme!$I$7:$I$94,0),2),"")</f>
        <v>Associer des solutions techniques à des fonctions.</v>
      </c>
      <c r="M6" s="873"/>
      <c r="N6" s="873"/>
      <c r="O6" s="873"/>
      <c r="P6" s="873"/>
      <c r="Q6" s="878"/>
      <c r="R6" s="876" t="str">
        <f ca="1">IFERROR(INDEX([1]Programme!$K$7:$L$94,MATCH($K6&amp;".1",[1]Programme!$K$7:$K$94,0),2),"")&amp;IFERROR(INDEX([1]Programme!$K$7:$L$94,MATCH($K6&amp;".2",[1]Programme!$K$7:$K$94,0),2),"")&amp;IFERROR(INDEX([1]Programme!$K$7:$L$94,MATCH($K6&amp;".3",[1]Programme!$K$7:$K$94,0),2),"")&amp;IFERROR(INDEX([1]Programme!$K$7:$L$94,MATCH($K6&amp;".4",[1]Programme!$K$7:$K$94,0),2),"")&amp;IFERROR(INDEX([1]Programme!$K$7:$L$94,MATCH($K6&amp;".5",[1]Programme!$K$7:$K$94,0),2),"")&amp;IFERROR(INDEX([1]Programme!$K$7:$L$94,MATCH($K6&amp;".6",[1]Programme!$K$7:$K$94,0),2),"")</f>
        <v>Analyse fonctionnelle systémique.</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IFERROR(INDEX([1]Programme!$B$3:$G$46,MATCH($A$6,[1]Programme!$B$3:$B$46,0),SMALL(IF(INDIRECT("Programme!D"&amp;MATCH($A$6,[1]Programme!$B$1:$B$46,0)):INDIRECT("Programme!G"&amp;MATCH($A$6,[1]Programme!$B$1:$B$46,0))&lt;&gt;"",COLUMN([1]Programme!$D$3:$G$3)-1),ROW()-5)),"")</f>
        <v/>
      </c>
      <c r="L7" s="879" t="str">
        <f ca="1">IFERROR(INDEX([1]Programme!$I$7:$J$94,MATCH($K7,[1]Programme!$I$7:$I$94,0),2),"")</f>
        <v/>
      </c>
      <c r="M7" s="879"/>
      <c r="N7" s="879"/>
      <c r="O7" s="879"/>
      <c r="P7" s="879"/>
      <c r="Q7" s="880"/>
      <c r="R7" s="881" t="str">
        <f ca="1">IFERROR(INDEX([1]Programme!$K$7:$L$94,MATCH($K7&amp;".1",[1]Programme!$K$7:$K$94,0),2),"")&amp;IFERROR(INDEX([1]Programme!$K$7:$L$94,MATCH($K7&amp;".2",[1]Programme!$K$7:$K$94,0),2),"")&amp;IFERROR(INDEX([1]Programme!$K$7:$L$94,MATCH($K7&amp;".3",[1]Programme!$K$7:$K$94,0),2),"")&amp;IFERROR(INDEX([1]Programme!$K$7:$L$94,MATCH($K7&amp;".4",[1]Programme!$K$7:$K$94,0),2),"")&amp;IFERROR(INDEX([1]Programme!$K$7:$L$94,MATCH($K7&amp;".5",[1]Programme!$K$7:$K$94,0),2),"")&amp;IFERROR(INDEX([1]Programme!$K$7:$L$94,MATCH($K7&amp;".6",[1]Programme!$K$7:$K$94,0),2),"")</f>
        <v/>
      </c>
      <c r="S7" s="879"/>
      <c r="T7" s="879"/>
      <c r="U7" s="879"/>
      <c r="V7" s="879"/>
      <c r="W7" s="879"/>
      <c r="X7" s="879"/>
      <c r="Y7" s="882"/>
    </row>
    <row r="8" spans="1:25" ht="32.25" customHeight="1">
      <c r="A8" s="422" t="str">
        <f t="array" aca="1" ref="A8" ca="1">IFERROR(INDEX([1]Problématiques_compétences!$F$2:$AK$2,SMALL(IF(INDIRECT("Problématiques_compétences!F"&amp;MATCH($A$1,[1]Problématiques_compétences!$D$1:$D$118,0)):INDIRECT("Problématiques_compétences!AK"&amp;MATCH($A$1,[1]Problématiques_compétences!$D$1:$D$118,0))="x",COLUMN([1]Problématiques_compétences!$F$1:$AK$1)-5,""),ROW()-5)),"")</f>
        <v>CT 3.1</v>
      </c>
      <c r="B8" s="872" t="str">
        <f ca="1">IFERROR(INDEX([1]Programme!$B$4:$C$46,MATCH(A8,[1]Programme!$B$4:$B$46,0),2),"")</f>
        <v>► Exprimer sa pensée à l’aide d’outils de description adaptés : croquis, schémas, graphes, diagrammes, tableaux (représentations non normées).</v>
      </c>
      <c r="C8" s="872"/>
      <c r="D8" s="872"/>
      <c r="E8" s="872"/>
      <c r="F8" s="872"/>
      <c r="G8" s="872"/>
      <c r="H8" s="872"/>
      <c r="I8" s="872"/>
      <c r="J8" s="872"/>
      <c r="K8" s="417" t="str">
        <f t="array" aca="1" ref="K8" ca="1">IFERROR(INDEX([1]Programme!$B$3:$G$46,MATCH($A$8,[1]Programme!$B$3:$B$46,0),SMALL(IF(INDIRECT("Programme!D"&amp;MATCH($A$8,[1]Programme!$B$1:$B$46,0)):INDIRECT("Programme!G"&amp;MATCH($A$8,[1]Programme!$B$1:$B$46,0))&lt;&gt;"",COLUMN([1]Programme!$D$3:$G$3)-1),ROW()-7)),"")</f>
        <v>OTSCIS.2.1</v>
      </c>
      <c r="L8" s="873" t="str">
        <f ca="1">IFERROR(INDEX([1]Programme!$I$7:$J$94,MATCH($K8,[1]Programme!$I$7:$I$94,0),2),"")</f>
        <v xml:space="preserve">Exprimer sa pensée à l’aide d’outils de description adaptés : croquis, schémas, graphes, diagrammes, tableaux. </v>
      </c>
      <c r="M8" s="873"/>
      <c r="N8" s="873"/>
      <c r="O8" s="873"/>
      <c r="P8" s="873"/>
      <c r="Q8" s="878"/>
      <c r="R8" s="876" t="str">
        <f ca="1">IFERROR(INDEX([1]Programme!$K$7:$L$94,MATCH($K8&amp;".1",[1]Programme!$K$7:$K$94,0),2),"")&amp;IFERROR(INDEX([1]Programme!$K$7:$L$94,MATCH($K8&amp;".2",[1]Programme!$K$7:$K$94,0),2),"")&amp;IFERROR(INDEX([1]Programme!$K$7:$L$94,MATCH($K8&amp;".3",[1]Programme!$K$7:$K$94,0),2),"")&amp;IFERROR(INDEX([1]Programme!$K$7:$L$94,MATCH($K8&amp;".4",[1]Programme!$K$7:$K$94,0),2),"")&amp;IFERROR(INDEX([1]Programme!$K$7:$L$94,MATCH($K8&amp;".5",[1]Programme!$K$7:$K$94,0),2),"")&amp;IFERROR(INDEX([1]Programme!$K$7:$L$94,MATCH($K8&amp;".6",[1]Programme!$K$7:$K$94,0),2),"")</f>
        <v>Croquis à main levée. Différents schémas. Carte heuristique. Notion d’algorithme.</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IFERROR(INDEX([1]Programme!$B$3:$G$46,MATCH($A$8,[1]Programme!$B$3:$B$46,0),SMALL(IF(INDIRECT("Programme!D"&amp;MATCH($A$8,[1]Programme!$B$1:$B$46,0)):INDIRECT("Programme!G"&amp;MATCH($A$8,[1]Programme!$B$1:$B$46,0))&lt;&gt;"",COLUMN([1]Programme!$D$3:$G$3)-1),ROW()-7)),"")</f>
        <v/>
      </c>
      <c r="L9" s="879" t="str">
        <f ca="1">IFERROR(INDEX([1]Programme!$I$7:$J$94,MATCH($K9,[1]Programme!$I$7:$I$94,0),2),"")</f>
        <v/>
      </c>
      <c r="M9" s="879"/>
      <c r="N9" s="879"/>
      <c r="O9" s="879"/>
      <c r="P9" s="879"/>
      <c r="Q9" s="880"/>
      <c r="R9" s="881" t="str">
        <f ca="1">IFERROR(INDEX([1]Programme!$K$7:$L$94,MATCH($K9&amp;".1",[1]Programme!$K$7:$K$94,0),2),"")&amp;IFERROR(INDEX([1]Programme!$K$7:$L$94,MATCH($K9&amp;".2",[1]Programme!$K$7:$K$94,0),2),"")&amp;IFERROR(INDEX([1]Programme!$K$7:$L$94,MATCH($K9&amp;".3",[1]Programme!$K$7:$K$94,0),2),"")&amp;IFERROR(INDEX([1]Programme!$K$7:$L$94,MATCH($K9&amp;".4",[1]Programme!$K$7:$K$94,0),2),"")&amp;IFERROR(INDEX([1]Programme!$K$7:$L$94,MATCH($K9&amp;".5",[1]Programme!$K$7:$K$94,0),2),"")&amp;IFERROR(INDEX([1]Programme!$K$7:$L$94,MATCH($K9&amp;".6",[1]Programme!$K$7:$K$94,0),2),"")</f>
        <v/>
      </c>
      <c r="S9" s="879"/>
      <c r="T9" s="879"/>
      <c r="U9" s="879"/>
      <c r="V9" s="879"/>
      <c r="W9" s="879"/>
      <c r="X9" s="879"/>
      <c r="Y9" s="882"/>
    </row>
    <row r="10" spans="1:25" ht="32.25" customHeight="1">
      <c r="A10" s="422" t="str">
        <f t="array" aca="1" ref="A10" ca="1">IFERROR(INDEX([1]Problématiques_compétences!$F$2:$AK$2,SMALL(IF(INDIRECT("Problématiques_compétences!F"&amp;MATCH($A$1,[1]Problématiques_compétences!$D$1:$D$118,0)):INDIRECT("Problématiques_compétences!AK"&amp;MATCH($A$1,[1]Problématiques_compétences!$D$1:$D$118,0))="x",COLUMN([1]Problématiques_compétences!$F$1:$AK$1)-5,""),ROW()-6)),"")</f>
        <v>CT 5.1</v>
      </c>
      <c r="B10" s="872" t="str">
        <f ca="1">IFERROR(INDEX([1]Programme!$B$4:$C$46,MATCH(A10,[1]Programme!$B$4:$B$46,0),2),"")</f>
        <v>► Simuler numériquement la structure et/ou le comportement d’un objet.</v>
      </c>
      <c r="C10" s="872"/>
      <c r="D10" s="872"/>
      <c r="E10" s="872"/>
      <c r="F10" s="872"/>
      <c r="G10" s="872"/>
      <c r="H10" s="872"/>
      <c r="I10" s="872"/>
      <c r="J10" s="872"/>
      <c r="K10" s="417" t="str">
        <f t="array" aca="1" ref="K10" ca="1">IFERROR(INDEX([1]Programme!$B$3:$G$46,MATCH($A$10,[1]Programme!$B$3:$B$46,0),SMALL(IF(INDIRECT("Programme!D"&amp;MATCH($A$10,[1]Programme!$B$1:$B$46,0)):INDIRECT("Programme!G"&amp;MATCH($A$10,[1]Programme!$B$1:$B$46,0))&lt;&gt;"",COLUMN([1]Programme!$D$3:$G$3)-1),ROW()-9)),"")</f>
        <v>MSOST.2.2</v>
      </c>
      <c r="L10" s="873" t="str">
        <f ca="1">IFERROR(INDEX([1]Programme!$I$7:$J$94,MATCH($K10,[1]Programme!$I$7:$I$94,0),2),"")</f>
        <v>Simuler numériquement la structure et/ou le comportement d’un objet. Interpréter le comportement de l’objet technique et le communiquer en argumentant.</v>
      </c>
      <c r="M10" s="873"/>
      <c r="N10" s="873"/>
      <c r="O10" s="873"/>
      <c r="P10" s="873"/>
      <c r="Q10" s="878"/>
      <c r="R10" s="876" t="str">
        <f ca="1">IFERROR(INDEX([1]Programme!$K$7:$L$94,MATCH($K10&amp;".1",[1]Programme!$K$7:$K$94,0),2),"")&amp;IFERROR(INDEX([1]Programme!$K$7:$L$94,MATCH($K10&amp;".2",[1]Programme!$K$7:$K$94,0),2),"")&amp;IFERROR(INDEX([1]Programme!$K$7:$L$94,MATCH($K10&amp;".3",[1]Programme!$K$7:$K$94,0),2),"")&amp;IFERROR(INDEX([1]Programme!$K$7:$L$94,MATCH($K10&amp;".4",[1]Programme!$K$7:$K$94,0),2),"")&amp;IFERROR(INDEX([1]Programme!$K$7:$L$94,MATCH($K10&amp;".5",[1]Programme!$K$7:$K$94,0),2),"")&amp;IFERROR(INDEX([1]Programme!$K$7:$L$94,MATCH($K10&amp;".6",[1]Programme!$K$7:$K$94,0),2),"")</f>
        <v>Notions d’écarts entre les attentes fixées par le cahier des charges et les résultats de la simulation.</v>
      </c>
      <c r="S10" s="873"/>
      <c r="T10" s="873"/>
      <c r="U10" s="873"/>
      <c r="V10" s="873"/>
      <c r="W10" s="873"/>
      <c r="X10" s="873"/>
      <c r="Y10" s="877"/>
    </row>
    <row r="11" spans="1:25" ht="15.75" thickBot="1">
      <c r="A11" s="422"/>
      <c r="B11" s="872"/>
      <c r="C11" s="872"/>
      <c r="D11" s="872"/>
      <c r="E11" s="872"/>
      <c r="F11" s="872"/>
      <c r="G11" s="872"/>
      <c r="H11" s="872"/>
      <c r="I11" s="872"/>
      <c r="J11" s="872"/>
      <c r="K11" s="417" t="str">
        <f t="array" aca="1" ref="K11" ca="1">IFERROR(INDEX([1]Programme!$B$3:$G$46,MATCH($A$10,[1]Programme!$B$3:$B$46,0),SMALL(IF(INDIRECT("Programme!D"&amp;MATCH($A$10,[1]Programme!$B$1:$B$46,0)):INDIRECT("Programme!G"&amp;MATCH($A$10,[1]Programme!$B$1:$B$46,0))&lt;&gt;"",COLUMN([1]Programme!$D$3:$G$3)-1),ROW()-9)),"")</f>
        <v/>
      </c>
      <c r="L11" s="873" t="str">
        <f ca="1">IFERROR(INDEX([1]Programme!$I$7:$J$94,MATCH($K11,[1]Programme!$I$7:$I$94,0),2),"")</f>
        <v/>
      </c>
      <c r="M11" s="873"/>
      <c r="N11" s="874"/>
      <c r="O11" s="874"/>
      <c r="P11" s="874"/>
      <c r="Q11" s="875"/>
      <c r="R11" s="876" t="str">
        <f ca="1">IFERROR(INDEX([1]Programme!$K$7:$L$94,MATCH($K11&amp;".1",[1]Programme!$K$7:$K$94,0),2),"")&amp;IFERROR(INDEX([1]Programme!$K$7:$L$94,MATCH($K11&amp;".2",[1]Programme!$K$7:$K$94,0),2),"")&amp;IFERROR(INDEX([1]Programme!$K$7:$L$94,MATCH($K11&amp;".3",[1]Programme!$K$7:$K$94,0),2),"")&amp;IFERROR(INDEX([1]Programme!$K$7:$L$94,MATCH($K11&amp;".4",[1]Programme!$K$7:$K$94,0),2),"")&amp;IFERROR(INDEX([1]Programme!$K$7:$L$94,MATCH($K11&amp;".5",[1]Programme!$K$7:$K$94,0),2),"")&amp;IFERROR(INDEX([1]Programme!$K$7:$L$94,MATCH($K11&amp;".6",[1]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483</v>
      </c>
      <c r="B13" s="852"/>
      <c r="C13" s="852"/>
      <c r="D13" s="852"/>
      <c r="E13" s="852"/>
      <c r="F13" s="852"/>
      <c r="G13" s="852"/>
      <c r="H13" s="852"/>
      <c r="I13" s="852"/>
      <c r="J13" s="852"/>
      <c r="K13" s="852"/>
      <c r="L13" s="852"/>
      <c r="M13" s="853"/>
      <c r="N13" s="857" t="s">
        <v>484</v>
      </c>
      <c r="O13" s="858"/>
      <c r="P13" s="858"/>
      <c r="Q13" s="858"/>
      <c r="R13" s="858"/>
      <c r="S13" s="858"/>
      <c r="T13" s="858"/>
      <c r="U13" s="858"/>
      <c r="V13" s="858"/>
      <c r="W13" s="858"/>
      <c r="X13" s="858"/>
      <c r="Y13" s="859"/>
    </row>
    <row r="14" spans="1:25" ht="30.7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485</v>
      </c>
      <c r="B16" s="858"/>
      <c r="C16" s="858"/>
      <c r="D16" s="858"/>
      <c r="E16" s="858"/>
      <c r="F16" s="858"/>
      <c r="G16" s="858"/>
      <c r="H16" s="858"/>
      <c r="I16" s="858"/>
      <c r="J16" s="858"/>
      <c r="K16" s="858"/>
      <c r="L16" s="858"/>
      <c r="M16" s="859"/>
      <c r="N16" s="857" t="s">
        <v>486</v>
      </c>
      <c r="O16" s="858"/>
      <c r="P16" s="858"/>
      <c r="Q16" s="858"/>
      <c r="R16" s="858"/>
      <c r="S16" s="858"/>
      <c r="T16" s="858"/>
      <c r="U16" s="858"/>
      <c r="V16" s="858"/>
      <c r="W16" s="858"/>
      <c r="X16" s="858"/>
      <c r="Y16" s="859"/>
    </row>
    <row r="17" spans="1:25" ht="15.75"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888" t="s">
        <v>487</v>
      </c>
      <c r="G18" s="888"/>
      <c r="H18" s="888"/>
      <c r="I18" s="888"/>
      <c r="J18" s="888"/>
      <c r="K18" s="888"/>
      <c r="L18" s="888"/>
      <c r="M18" s="889"/>
      <c r="N18" s="866" t="s">
        <v>382</v>
      </c>
      <c r="O18" s="867"/>
      <c r="P18" s="867"/>
      <c r="Q18" s="867"/>
      <c r="R18" s="888" t="s">
        <v>488</v>
      </c>
      <c r="S18" s="888"/>
      <c r="T18" s="888"/>
      <c r="U18" s="888"/>
      <c r="V18" s="888"/>
      <c r="W18" s="888"/>
      <c r="X18" s="888"/>
      <c r="Y18" s="889"/>
    </row>
    <row r="19" spans="1:25" ht="15.75" thickBot="1">
      <c r="A19" s="455" t="s">
        <v>465</v>
      </c>
      <c r="B19" s="447"/>
      <c r="C19" s="447"/>
      <c r="D19" s="447"/>
      <c r="E19" s="447"/>
      <c r="F19" s="447"/>
      <c r="G19" s="447"/>
      <c r="H19" s="448"/>
      <c r="I19" s="448"/>
      <c r="J19" s="448"/>
      <c r="K19" s="449"/>
      <c r="L19" s="449"/>
      <c r="M19" s="450"/>
      <c r="N19" s="868"/>
      <c r="O19" s="869"/>
      <c r="P19" s="869"/>
      <c r="Q19" s="869"/>
      <c r="R19" s="890"/>
      <c r="S19" s="890"/>
      <c r="T19" s="890"/>
      <c r="U19" s="890"/>
      <c r="V19" s="890"/>
      <c r="W19" s="890"/>
      <c r="X19" s="890"/>
      <c r="Y19" s="891"/>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489</v>
      </c>
      <c r="D23" s="842"/>
      <c r="E23" s="842"/>
      <c r="F23" s="842"/>
      <c r="G23" s="842"/>
      <c r="H23" s="842"/>
      <c r="I23" s="842"/>
      <c r="J23" s="842"/>
      <c r="K23" s="843"/>
      <c r="L23" s="842" t="s">
        <v>490</v>
      </c>
      <c r="M23" s="842"/>
      <c r="N23" s="842"/>
      <c r="O23" s="842"/>
      <c r="P23" s="842"/>
      <c r="Q23" s="842"/>
      <c r="R23" s="843"/>
      <c r="S23" s="841" t="s">
        <v>491</v>
      </c>
      <c r="T23" s="842"/>
      <c r="U23" s="842"/>
      <c r="V23" s="842"/>
      <c r="W23" s="842"/>
      <c r="X23" s="842"/>
      <c r="Y23" s="843"/>
    </row>
    <row r="24" spans="1:25" ht="43.5" customHeight="1">
      <c r="A24" s="844" t="s">
        <v>79</v>
      </c>
      <c r="B24" s="845"/>
      <c r="C24" s="841" t="s">
        <v>492</v>
      </c>
      <c r="D24" s="842"/>
      <c r="E24" s="842"/>
      <c r="F24" s="842"/>
      <c r="G24" s="842"/>
      <c r="H24" s="842"/>
      <c r="I24" s="842"/>
      <c r="J24" s="842"/>
      <c r="K24" s="843"/>
      <c r="L24" s="841" t="s">
        <v>493</v>
      </c>
      <c r="M24" s="842"/>
      <c r="N24" s="842"/>
      <c r="O24" s="842"/>
      <c r="P24" s="842"/>
      <c r="Q24" s="842"/>
      <c r="R24" s="843"/>
      <c r="S24" s="841" t="s">
        <v>494</v>
      </c>
      <c r="T24" s="842"/>
      <c r="U24" s="842"/>
      <c r="V24" s="842"/>
      <c r="W24" s="842"/>
      <c r="X24" s="842"/>
      <c r="Y24" s="843"/>
    </row>
    <row r="25" spans="1:25" ht="45" customHeight="1">
      <c r="A25" s="839" t="s">
        <v>81</v>
      </c>
      <c r="B25" s="840"/>
      <c r="C25" s="841" t="s">
        <v>495</v>
      </c>
      <c r="D25" s="842"/>
      <c r="E25" s="842"/>
      <c r="F25" s="842"/>
      <c r="G25" s="842"/>
      <c r="H25" s="842"/>
      <c r="I25" s="842"/>
      <c r="J25" s="842"/>
      <c r="K25" s="843"/>
      <c r="L25" s="841" t="s">
        <v>496</v>
      </c>
      <c r="M25" s="842"/>
      <c r="N25" s="842"/>
      <c r="O25" s="842"/>
      <c r="P25" s="842"/>
      <c r="Q25" s="842"/>
      <c r="R25" s="843"/>
      <c r="S25" s="841" t="s">
        <v>497</v>
      </c>
      <c r="T25" s="842"/>
      <c r="U25" s="842"/>
      <c r="V25" s="842"/>
      <c r="W25" s="842"/>
      <c r="X25" s="842"/>
      <c r="Y25" s="843"/>
    </row>
    <row r="26" spans="1:25" ht="57" customHeight="1">
      <c r="A26" s="839" t="s">
        <v>80</v>
      </c>
      <c r="B26" s="840"/>
      <c r="C26" s="841" t="s">
        <v>498</v>
      </c>
      <c r="D26" s="842"/>
      <c r="E26" s="842"/>
      <c r="F26" s="842"/>
      <c r="G26" s="842"/>
      <c r="H26" s="842"/>
      <c r="I26" s="842"/>
      <c r="J26" s="842"/>
      <c r="K26" s="843"/>
      <c r="L26" s="841" t="s">
        <v>499</v>
      </c>
      <c r="M26" s="842"/>
      <c r="N26" s="842"/>
      <c r="O26" s="842"/>
      <c r="P26" s="842"/>
      <c r="Q26" s="842"/>
      <c r="R26" s="843"/>
      <c r="S26" s="841" t="s">
        <v>500</v>
      </c>
      <c r="T26" s="842"/>
      <c r="U26" s="842"/>
      <c r="V26" s="842"/>
      <c r="W26" s="842"/>
      <c r="X26" s="842"/>
      <c r="Y26" s="843"/>
    </row>
    <row r="27" spans="1:25" ht="45" customHeight="1">
      <c r="A27" s="844" t="s">
        <v>335</v>
      </c>
      <c r="B27" s="845"/>
      <c r="C27" s="841" t="s">
        <v>501</v>
      </c>
      <c r="D27" s="842"/>
      <c r="E27" s="842"/>
      <c r="F27" s="842"/>
      <c r="G27" s="842"/>
      <c r="H27" s="842"/>
      <c r="I27" s="842"/>
      <c r="J27" s="842"/>
      <c r="K27" s="843"/>
      <c r="L27" s="841" t="s">
        <v>502</v>
      </c>
      <c r="M27" s="842"/>
      <c r="N27" s="842"/>
      <c r="O27" s="842"/>
      <c r="P27" s="842"/>
      <c r="Q27" s="842"/>
      <c r="R27" s="843"/>
      <c r="S27" s="841" t="s">
        <v>503</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4">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F18:M18"/>
    <mergeCell ref="N18:Q19"/>
    <mergeCell ref="R18: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C966F-B777-4CC0-989C-F60B6040D46E}">
  <dimension ref="A1:Y35"/>
  <sheetViews>
    <sheetView topLeftCell="A16" workbookViewId="0">
      <selection activeCell="A3" sqref="A3"/>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505</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15.75" thickBot="1">
      <c r="A2" s="884"/>
      <c r="B2" s="885" t="str">
        <f>INDEX([1]Problématiques_compétences!$A$3:$D$118,QUOTIENT(MATCH(A1,[1]Problématiques_compétences!$D$3:$D$118,0),8)*8+2,1)</f>
        <v>2) Franchir un obstacle</v>
      </c>
      <c r="C2" s="886"/>
      <c r="D2" s="886"/>
      <c r="E2" s="886"/>
      <c r="F2" s="886"/>
      <c r="G2" s="886"/>
      <c r="H2" s="886"/>
      <c r="I2" s="886"/>
      <c r="J2" s="886"/>
      <c r="K2" s="886"/>
      <c r="L2" s="886"/>
      <c r="M2" s="887"/>
      <c r="N2" s="407" t="str">
        <f>INDEX([1]Problématiques_compétences!$B$3:$D$118,MATCH(A1,[1]Problématiques_compétences!$D$3:$D$118,0),1)</f>
        <v>Comment intégrer un ouvrage dans son environnement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[1]Problématiques_compétences!$F$2:$AK$2,SMALL(IF(INDIRECT("Problématiques_compétences!F"&amp;MATCH($A$1,[1]Problématiques_compétences!$D$1:$D$118,0)):INDIRECT("Problématiques_compétences!AK"&amp;MATCH($A$1,[1]Problématiques_compétences!$D$1:$D$118,0))="x",COLUMN([1]Problématiques_compétences!$F$1:$AK$1)-5,""),ROW()-3)),"")</f>
        <v>CT 1.3</v>
      </c>
      <c r="B4" s="872" t="str">
        <f ca="1">INDEX([1]Programme!$B$4:$C$46,MATCH(A4,[1]Programme!$B$4:$B$46,0),2)</f>
        <v xml:space="preserve">► Rechercher des solutions techniques à un problème posé, expliciter ses choix et les communiquer en argumentant. </v>
      </c>
      <c r="C4" s="872"/>
      <c r="D4" s="872"/>
      <c r="E4" s="872"/>
      <c r="F4" s="872"/>
      <c r="G4" s="872"/>
      <c r="H4" s="872"/>
      <c r="I4" s="872"/>
      <c r="J4" s="872"/>
      <c r="K4" s="417" t="str">
        <f t="array" aca="1" ref="K4" ca="1">INDEX([1]Programme!$B$3:$G$46,MATCH($A$4,[1]Programme!$B$3:$B$46,0),SMALL(IF(INDIRECT("Programme!D"&amp;MATCH($A$4,[1]Programme!$B$1:$B$46,0)):INDIRECT("Programme!G"&amp;MATCH($A$4,[1]Programme!$B$1:$B$46,0))&lt;&gt;"",COLUMN([1]Programme!$D$3:$G$3)-1),ROW()-3))</f>
        <v>DIC.1.5</v>
      </c>
      <c r="L4" s="873" t="str">
        <f ca="1">IFERROR(INDEX([1]Programme!$I$7:$J$94,MATCH($K4,[1]Programme!$I$7:$I$94,0),2),"")</f>
        <v>Imaginer des solutions pour produire des objets et des éléments de programmes informatiques en réponse au besoin.</v>
      </c>
      <c r="M4" s="873"/>
      <c r="N4" s="873"/>
      <c r="O4" s="873"/>
      <c r="P4" s="873"/>
      <c r="Q4" s="878"/>
      <c r="R4" s="876" t="str">
        <f ca="1">IFERROR(INDEX([1]Programme!$K$7:$L$94,MATCH($K4&amp;".1",[1]Programme!$K$7:$K$94,0),2),"")&amp;IFERROR(INDEX([1]Programme!$K$7:$L$94,MATCH($K4&amp;".2",[1]Programme!$K$7:$K$94,0),2),"")&amp;IFERROR(INDEX([1]Programme!$K$7:$L$94,MATCH($K4&amp;".3",[1]Programme!$K$7:$K$94,0),2),"")&amp;IFERROR(INDEX([1]Programme!$K$7:$L$94,MATCH($K4&amp;".4",[1]Programme!$K$7:$K$94,0),2),"")&amp;IFERROR(INDEX([1]Programme!$K$7:$L$94,MATCH($K4&amp;".5",[1]Programme!$K$7:$K$94,0),2),"")&amp;IFERROR(INDEX([1]Programme!$K$7:$L$94,MATCH($K4&amp;".6",[1]Programme!$K$7:$K$94,0),2),"")</f>
        <v>Design. Innovation et créativité. Veille. Représentation de solutions (croquis, schémas, algorithmes). Réalité augmentée. Objets connectés.</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IFERROR(INDEX([1]Programme!$B$3:$G$46,MATCH($A$4,[1]Programme!$B$3:$B$46,0),SMALL(IF(INDIRECT("Programme!D"&amp;MATCH($A$4,[1]Programme!$B$1:$B$46,0)):INDIRECT("Programme!G"&amp;MATCH($A$4,[1]Programme!$B$1:$B$46,0))&lt;&gt;"",COLUMN([1]Programme!$D$3:$G$3)-1),ROW()-3)),"")</f>
        <v/>
      </c>
      <c r="L5" s="879" t="str">
        <f ca="1">IFERROR(INDEX([1]Programme!$I$7:$J$94,MATCH($K5,[1]Programme!$I$7:$I$94,0),2),"")</f>
        <v/>
      </c>
      <c r="M5" s="879"/>
      <c r="N5" s="879"/>
      <c r="O5" s="879"/>
      <c r="P5" s="879"/>
      <c r="Q5" s="880"/>
      <c r="R5" s="881" t="str">
        <f ca="1">IFERROR(INDEX([1]Programme!$K$7:$L$94,MATCH($K5&amp;".1",[1]Programme!$K$7:$K$94,0),2),"")&amp;IFERROR(INDEX([1]Programme!$K$7:$L$94,MATCH($K5&amp;".2",[1]Programme!$K$7:$K$94,0),2),"")&amp;IFERROR(INDEX([1]Programme!$K$7:$L$94,MATCH($K5&amp;".3",[1]Programme!$K$7:$K$94,0),2),"")&amp;IFERROR(INDEX([1]Programme!$K$7:$L$94,MATCH($K5&amp;".4",[1]Programme!$K$7:$K$94,0),2),"")&amp;IFERROR(INDEX([1]Programme!$K$7:$L$94,MATCH($K5&amp;".5",[1]Programme!$K$7:$K$94,0),2),"")&amp;IFERROR(INDEX([1]Programme!$K$7:$L$94,MATCH($K5&amp;".6",[1]Programme!$K$7:$K$94,0),2),"")</f>
        <v/>
      </c>
      <c r="S5" s="879"/>
      <c r="T5" s="879"/>
      <c r="U5" s="879"/>
      <c r="V5" s="879"/>
      <c r="W5" s="879"/>
      <c r="X5" s="879"/>
      <c r="Y5" s="882"/>
    </row>
    <row r="6" spans="1:25" ht="32.25" customHeight="1">
      <c r="A6" s="422" t="str">
        <f t="array" aca="1" ref="A6" ca="1">IFERROR(INDEX([1]Problématiques_compétences!$F$2:$AK$2,SMALL(IF(INDIRECT("Problématiques_compétences!F"&amp;MATCH($A$1,[1]Problématiques_compétences!$D$1:$D$118,0)):INDIRECT("Problématiques_compétences!AK"&amp;MATCH($A$1,[1]Problématiques_compétences!$D$1:$D$118,0))="x",COLUMN([1]Problématiques_compétences!$F$1:$AK$1)-5,""),ROW()-4)),"")</f>
        <v>CT 2.1</v>
      </c>
      <c r="B6" s="872" t="str">
        <f ca="1">IFERROR(INDEX([1]Programme!$B$4:$C$46,MATCH(A6,[1]Programme!$B$4:$B$46,0),2),"")</f>
        <v>► Identifier un besoin et énoncer un problème technique, identifier les conditions, contraintes (normes et règlements) et ressources correspondantes.</v>
      </c>
      <c r="C6" s="872"/>
      <c r="D6" s="872"/>
      <c r="E6" s="872"/>
      <c r="F6" s="872"/>
      <c r="G6" s="872"/>
      <c r="H6" s="872"/>
      <c r="I6" s="872"/>
      <c r="J6" s="872"/>
      <c r="K6" s="417" t="str">
        <f t="array" aca="1" ref="K6" ca="1">IFERROR(INDEX([1]Programme!$B$3:$G$46,MATCH($A$6,[1]Programme!$B$3:$B$46,0),SMALL(IF(INDIRECT("Programme!D"&amp;MATCH($A$6,[1]Programme!$B$1:$B$46,0)):INDIRECT("Programme!G"&amp;MATCH($A$6,[1]Programme!$B$1:$B$46,0))&lt;&gt;"",COLUMN([1]Programme!$D$3:$G$3)-1),ROW()-5)),"")</f>
        <v>DIC.1.1</v>
      </c>
      <c r="L6" s="873" t="str">
        <f ca="1">IFERROR(INDEX([1]Programme!$I$7:$J$94,MATCH($K6,[1]Programme!$I$7:$I$94,0),2),"")</f>
        <v>Identifier un besoin (biens matériels ou services) et énoncer un problème technique.</v>
      </c>
      <c r="M6" s="873"/>
      <c r="N6" s="873"/>
      <c r="O6" s="873"/>
      <c r="P6" s="873"/>
      <c r="Q6" s="878"/>
      <c r="R6" s="876" t="str">
        <f ca="1">IFERROR(INDEX([1]Programme!$K$7:$L$94,MATCH($K6&amp;".1",[1]Programme!$K$7:$K$94,0),2),"")&amp;IFERROR(INDEX([1]Programme!$K$7:$L$94,MATCH($K6&amp;".2",[1]Programme!$K$7:$K$94,0),2),"")&amp;IFERROR(INDEX([1]Programme!$K$7:$L$94,MATCH($K6&amp;".3",[1]Programme!$K$7:$K$94,0),2),"")&amp;IFERROR(INDEX([1]Programme!$K$7:$L$94,MATCH($K6&amp;".4",[1]Programme!$K$7:$K$94,0),2),"")&amp;IFERROR(INDEX([1]Programme!$K$7:$L$94,MATCH($K6&amp;".5",[1]Programme!$K$7:$K$94,0),2),"")&amp;IFERROR(INDEX([1]Programme!$K$7:$L$94,MATCH($K6&amp;".6",[1]Programme!$K$7:$K$94,0),2),"")</f>
        <v xml:space="preserve">Besoin, contraintes, normalisation. </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IFERROR(INDEX([1]Programme!$B$3:$G$46,MATCH($A$6,[1]Programme!$B$3:$B$46,0),SMALL(IF(INDIRECT("Programme!D"&amp;MATCH($A$6,[1]Programme!$B$1:$B$46,0)):INDIRECT("Programme!G"&amp;MATCH($A$6,[1]Programme!$B$1:$B$46,0))&lt;&gt;"",COLUMN([1]Programme!$D$3:$G$3)-1),ROW()-5)),"")</f>
        <v>DIC.1.2</v>
      </c>
      <c r="L7" s="879" t="str">
        <f ca="1">IFERROR(INDEX([1]Programme!$I$7:$J$94,MATCH($K7,[1]Programme!$I$7:$I$94,0),2),"")</f>
        <v>Identifier les conditions, contraintes (normes et règlements) et ressources correspondantes, qualifier et quantifier simplement les performances d’un objet technique existant ou à créer.</v>
      </c>
      <c r="M7" s="879"/>
      <c r="N7" s="879"/>
      <c r="O7" s="879"/>
      <c r="P7" s="879"/>
      <c r="Q7" s="880"/>
      <c r="R7" s="881" t="str">
        <f ca="1">IFERROR(INDEX([1]Programme!$K$7:$L$94,MATCH($K7&amp;".1",[1]Programme!$K$7:$K$94,0),2),"")&amp;IFERROR(INDEX([1]Programme!$K$7:$L$94,MATCH($K7&amp;".2",[1]Programme!$K$7:$K$94,0),2),"")&amp;IFERROR(INDEX([1]Programme!$K$7:$L$94,MATCH($K7&amp;".3",[1]Programme!$K$7:$K$94,0),2),"")&amp;IFERROR(INDEX([1]Programme!$K$7:$L$94,MATCH($K7&amp;".4",[1]Programme!$K$7:$K$94,0),2),"")&amp;IFERROR(INDEX([1]Programme!$K$7:$L$94,MATCH($K7&amp;".5",[1]Programme!$K$7:$K$94,0),2),"")&amp;IFERROR(INDEX([1]Programme!$K$7:$L$94,MATCH($K7&amp;".6",[1]Programme!$K$7:$K$94,0),2),"")</f>
        <v xml:space="preserve">Principaux éléments d’un cahier des charges. </v>
      </c>
      <c r="S7" s="879"/>
      <c r="T7" s="879"/>
      <c r="U7" s="879"/>
      <c r="V7" s="879"/>
      <c r="W7" s="879"/>
      <c r="X7" s="879"/>
      <c r="Y7" s="882"/>
    </row>
    <row r="8" spans="1:25" ht="32.25" customHeight="1">
      <c r="A8" s="422" t="str">
        <f t="array" aca="1" ref="A8" ca="1">IFERROR(INDEX([1]Problématiques_compétences!$F$2:$AK$2,SMALL(IF(INDIRECT("Problématiques_compétences!F"&amp;MATCH($A$1,[1]Problématiques_compétences!$D$1:$D$118,0)):INDIRECT("Problématiques_compétences!AK"&amp;MATCH($A$1,[1]Problématiques_compétences!$D$1:$D$118,0))="x",COLUMN([1]Problématiques_compétences!$F$1:$AK$1)-5,""),ROW()-5)),"")</f>
        <v>CT 3.1</v>
      </c>
      <c r="B8" s="872" t="str">
        <f ca="1">IFERROR(INDEX([1]Programme!$B$4:$C$46,MATCH(A8,[1]Programme!$B$4:$B$46,0),2),"")</f>
        <v>► Exprimer sa pensée à l’aide d’outils de description adaptés : croquis, schémas, graphes, diagrammes, tableaux (représentations non normées).</v>
      </c>
      <c r="C8" s="872"/>
      <c r="D8" s="872"/>
      <c r="E8" s="872"/>
      <c r="F8" s="872"/>
      <c r="G8" s="872"/>
      <c r="H8" s="872"/>
      <c r="I8" s="872"/>
      <c r="J8" s="872"/>
      <c r="K8" s="417" t="str">
        <f t="array" aca="1" ref="K8" ca="1">IFERROR(INDEX([1]Programme!$B$3:$G$46,MATCH($A$8,[1]Programme!$B$3:$B$46,0),SMALL(IF(INDIRECT("Programme!D"&amp;MATCH($A$8,[1]Programme!$B$1:$B$46,0)):INDIRECT("Programme!G"&amp;MATCH($A$8,[1]Programme!$B$1:$B$46,0))&lt;&gt;"",COLUMN([1]Programme!$D$3:$G$3)-1),ROW()-7)),"")</f>
        <v>OTSCIS.2.1</v>
      </c>
      <c r="L8" s="873" t="str">
        <f ca="1">IFERROR(INDEX([1]Programme!$I$7:$J$94,MATCH($K8,[1]Programme!$I$7:$I$94,0),2),"")</f>
        <v xml:space="preserve">Exprimer sa pensée à l’aide d’outils de description adaptés : croquis, schémas, graphes, diagrammes, tableaux. </v>
      </c>
      <c r="M8" s="873"/>
      <c r="N8" s="873"/>
      <c r="O8" s="873"/>
      <c r="P8" s="873"/>
      <c r="Q8" s="878"/>
      <c r="R8" s="876" t="str">
        <f ca="1">IFERROR(INDEX([1]Programme!$K$7:$L$94,MATCH($K8&amp;".1",[1]Programme!$K$7:$K$94,0),2),"")&amp;IFERROR(INDEX([1]Programme!$K$7:$L$94,MATCH($K8&amp;".2",[1]Programme!$K$7:$K$94,0),2),"")&amp;IFERROR(INDEX([1]Programme!$K$7:$L$94,MATCH($K8&amp;".3",[1]Programme!$K$7:$K$94,0),2),"")&amp;IFERROR(INDEX([1]Programme!$K$7:$L$94,MATCH($K8&amp;".4",[1]Programme!$K$7:$K$94,0),2),"")&amp;IFERROR(INDEX([1]Programme!$K$7:$L$94,MATCH($K8&amp;".5",[1]Programme!$K$7:$K$94,0),2),"")&amp;IFERROR(INDEX([1]Programme!$K$7:$L$94,MATCH($K8&amp;".6",[1]Programme!$K$7:$K$94,0),2),"")</f>
        <v>Croquis à main levée. Différents schémas. Carte heuristique. Notion d’algorithme.</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IFERROR(INDEX([1]Programme!$B$3:$G$46,MATCH($A$8,[1]Programme!$B$3:$B$46,0),SMALL(IF(INDIRECT("Programme!D"&amp;MATCH($A$8,[1]Programme!$B$1:$B$46,0)):INDIRECT("Programme!G"&amp;MATCH($A$8,[1]Programme!$B$1:$B$46,0))&lt;&gt;"",COLUMN([1]Programme!$D$3:$G$3)-1),ROW()-7)),"")</f>
        <v/>
      </c>
      <c r="L9" s="879" t="str">
        <f ca="1">IFERROR(INDEX([1]Programme!$I$7:$J$94,MATCH($K9,[1]Programme!$I$7:$I$94,0),2),"")</f>
        <v/>
      </c>
      <c r="M9" s="879"/>
      <c r="N9" s="879"/>
      <c r="O9" s="879"/>
      <c r="P9" s="879"/>
      <c r="Q9" s="880"/>
      <c r="R9" s="881" t="str">
        <f ca="1">IFERROR(INDEX([1]Programme!$K$7:$L$94,MATCH($K9&amp;".1",[1]Programme!$K$7:$K$94,0),2),"")&amp;IFERROR(INDEX([1]Programme!$K$7:$L$94,MATCH($K9&amp;".2",[1]Programme!$K$7:$K$94,0),2),"")&amp;IFERROR(INDEX([1]Programme!$K$7:$L$94,MATCH($K9&amp;".3",[1]Programme!$K$7:$K$94,0),2),"")&amp;IFERROR(INDEX([1]Programme!$K$7:$L$94,MATCH($K9&amp;".4",[1]Programme!$K$7:$K$94,0),2),"")&amp;IFERROR(INDEX([1]Programme!$K$7:$L$94,MATCH($K9&amp;".5",[1]Programme!$K$7:$K$94,0),2),"")&amp;IFERROR(INDEX([1]Programme!$K$7:$L$94,MATCH($K9&amp;".6",[1]Programme!$K$7:$K$94,0),2),"")</f>
        <v/>
      </c>
      <c r="S9" s="879"/>
      <c r="T9" s="879"/>
      <c r="U9" s="879"/>
      <c r="V9" s="879"/>
      <c r="W9" s="879"/>
      <c r="X9" s="879"/>
      <c r="Y9" s="882"/>
    </row>
    <row r="10" spans="1:25" ht="32.25" customHeight="1">
      <c r="A10" s="422" t="str">
        <f t="array" aca="1" ref="A10" ca="1">IFERROR(INDEX([1]Problématiques_compétences!$F$2:$AK$2,SMALL(IF(INDIRECT("Problématiques_compétences!F"&amp;MATCH($A$1,[1]Problématiques_compétences!$D$1:$D$118,0)):INDIRECT("Problématiques_compétences!AK"&amp;MATCH($A$1,[1]Problématiques_compétences!$D$1:$D$118,0))="x",COLUMN([1]Problématiques_compétences!$F$1:$AK$1)-5,""),ROW()-6)),"")</f>
        <v>CT 5.3</v>
      </c>
      <c r="B10" s="872" t="str">
        <f ca="1">IFERROR(INDEX([1]Programme!$B$4:$C$46,MATCH(A10,[1]Programme!$B$4:$B$46,0),2),"")</f>
        <v>► Lire, utiliser et produire des représentations numériques d’objets.</v>
      </c>
      <c r="C10" s="872"/>
      <c r="D10" s="872"/>
      <c r="E10" s="872"/>
      <c r="F10" s="872"/>
      <c r="G10" s="872"/>
      <c r="H10" s="872"/>
      <c r="I10" s="872"/>
      <c r="J10" s="872"/>
      <c r="K10" s="417" t="str">
        <f t="array" aca="1" ref="K10" ca="1">IFERROR(INDEX([1]Programme!$B$3:$G$46,MATCH($A$10,[1]Programme!$B$3:$B$46,0),SMALL(IF(INDIRECT("Programme!D"&amp;MATCH($A$10,[1]Programme!$B$1:$B$46,0)):INDIRECT("Programme!G"&amp;MATCH($A$10,[1]Programme!$B$1:$B$46,0))&lt;&gt;"",COLUMN([1]Programme!$D$3:$G$3)-1),ROW()-9)),"")</f>
        <v>OTSCIS.2.2</v>
      </c>
      <c r="L10" s="873" t="str">
        <f ca="1">IFERROR(INDEX([1]Programme!$I$7:$J$94,MATCH($K10,[1]Programme!$I$7:$I$94,0),2),"")</f>
        <v>Lire, utiliser et produire, à l’aide d’outils de représentation numérique, des choix de solutions sous forme de dessins ou de schémas.</v>
      </c>
      <c r="M10" s="873"/>
      <c r="N10" s="873"/>
      <c r="O10" s="873"/>
      <c r="P10" s="873"/>
      <c r="Q10" s="878"/>
      <c r="R10" s="876" t="str">
        <f ca="1">IFERROR(INDEX([1]Programme!$K$7:$L$94,MATCH($K10&amp;".1",[1]Programme!$K$7:$K$94,0),2),"")&amp;IFERROR(INDEX([1]Programme!$K$7:$L$94,MATCH($K10&amp;".2",[1]Programme!$K$7:$K$94,0),2),"")&amp;IFERROR(INDEX([1]Programme!$K$7:$L$94,MATCH($K10&amp;".3",[1]Programme!$K$7:$K$94,0),2),"")&amp;IFERROR(INDEX([1]Programme!$K$7:$L$94,MATCH($K10&amp;".4",[1]Programme!$K$7:$K$94,0),2),"")&amp;IFERROR(INDEX([1]Programme!$K$7:$L$94,MATCH($K10&amp;".5",[1]Programme!$K$7:$K$94,0),2),"")&amp;IFERROR(INDEX([1]Programme!$K$7:$L$94,MATCH($K10&amp;".6",[1]Programme!$K$7:$K$94,0),2),"")</f>
        <v>Outils numériques de description des objets techniques.</v>
      </c>
      <c r="S10" s="873"/>
      <c r="T10" s="873"/>
      <c r="U10" s="873"/>
      <c r="V10" s="873"/>
      <c r="W10" s="873"/>
      <c r="X10" s="873"/>
      <c r="Y10" s="877"/>
    </row>
    <row r="11" spans="1:25" ht="15.75" thickBot="1">
      <c r="A11" s="422"/>
      <c r="B11" s="872"/>
      <c r="C11" s="872"/>
      <c r="D11" s="872"/>
      <c r="E11" s="872"/>
      <c r="F11" s="872"/>
      <c r="G11" s="872"/>
      <c r="H11" s="872"/>
      <c r="I11" s="872"/>
      <c r="J11" s="872"/>
      <c r="K11" s="417" t="str">
        <f t="array" aca="1" ref="K11" ca="1">IFERROR(INDEX([1]Programme!$B$3:$G$46,MATCH($A$10,[1]Programme!$B$3:$B$46,0),SMALL(IF(INDIRECT("Programme!D"&amp;MATCH($A$10,[1]Programme!$B$1:$B$46,0)):INDIRECT("Programme!G"&amp;MATCH($A$10,[1]Programme!$B$1:$B$46,0))&lt;&gt;"",COLUMN([1]Programme!$D$3:$G$3)-1),ROW()-9)),"")</f>
        <v/>
      </c>
      <c r="L11" s="873" t="str">
        <f ca="1">IFERROR(INDEX([1]Programme!$I$7:$J$94,MATCH($K11,[1]Programme!$I$7:$I$94,0),2),"")</f>
        <v/>
      </c>
      <c r="M11" s="873"/>
      <c r="N11" s="874"/>
      <c r="O11" s="874"/>
      <c r="P11" s="874"/>
      <c r="Q11" s="875"/>
      <c r="R11" s="876" t="str">
        <f ca="1">IFERROR(INDEX([1]Programme!$K$7:$L$94,MATCH($K11&amp;".1",[1]Programme!$K$7:$K$94,0),2),"")&amp;IFERROR(INDEX([1]Programme!$K$7:$L$94,MATCH($K11&amp;".2",[1]Programme!$K$7:$K$94,0),2),"")&amp;IFERROR(INDEX([1]Programme!$K$7:$L$94,MATCH($K11&amp;".3",[1]Programme!$K$7:$K$94,0),2),"")&amp;IFERROR(INDEX([1]Programme!$K$7:$L$94,MATCH($K11&amp;".4",[1]Programme!$K$7:$K$94,0),2),"")&amp;IFERROR(INDEX([1]Programme!$K$7:$L$94,MATCH($K11&amp;".5",[1]Programme!$K$7:$K$94,0),2),"")&amp;IFERROR(INDEX([1]Programme!$K$7:$L$94,MATCH($K11&amp;".6",[1]Programme!$K$7:$K$94,0),2),"")</f>
        <v/>
      </c>
      <c r="S11" s="873"/>
      <c r="T11" s="873"/>
      <c r="U11" s="873"/>
      <c r="V11" s="873"/>
      <c r="W11" s="873"/>
      <c r="X11" s="873"/>
      <c r="Y11" s="877"/>
    </row>
    <row r="12" spans="1:25" ht="16.5" customHeight="1">
      <c r="A12" s="428" t="s">
        <v>70</v>
      </c>
      <c r="B12" s="429"/>
      <c r="C12" s="429"/>
      <c r="D12" s="429"/>
      <c r="E12" s="429"/>
      <c r="F12" s="429"/>
      <c r="G12" s="429"/>
      <c r="H12" s="429"/>
      <c r="I12" s="429"/>
      <c r="J12" s="429"/>
      <c r="K12" s="430"/>
      <c r="L12" s="431"/>
      <c r="M12" s="432"/>
      <c r="N12" s="433" t="s">
        <v>72</v>
      </c>
      <c r="O12" s="434"/>
      <c r="P12" s="434"/>
      <c r="Q12" s="434"/>
      <c r="R12" s="434"/>
      <c r="S12" s="434"/>
      <c r="T12" s="434"/>
      <c r="U12" s="434"/>
      <c r="V12" s="434"/>
      <c r="W12" s="434"/>
      <c r="X12" s="434"/>
      <c r="Y12" s="435"/>
    </row>
    <row r="13" spans="1:25" ht="30.75" customHeight="1">
      <c r="A13" s="851" t="s">
        <v>506</v>
      </c>
      <c r="B13" s="852"/>
      <c r="C13" s="852"/>
      <c r="D13" s="852"/>
      <c r="E13" s="852"/>
      <c r="F13" s="852"/>
      <c r="G13" s="852"/>
      <c r="H13" s="852"/>
      <c r="I13" s="852"/>
      <c r="J13" s="852"/>
      <c r="K13" s="852"/>
      <c r="L13" s="852"/>
      <c r="M13" s="853"/>
      <c r="N13" s="857" t="s">
        <v>507</v>
      </c>
      <c r="O13" s="858"/>
      <c r="P13" s="858"/>
      <c r="Q13" s="858"/>
      <c r="R13" s="858"/>
      <c r="S13" s="858"/>
      <c r="T13" s="858"/>
      <c r="U13" s="858"/>
      <c r="V13" s="858"/>
      <c r="W13" s="858"/>
      <c r="X13" s="858"/>
      <c r="Y13" s="859"/>
    </row>
    <row r="14" spans="1:25" ht="31.5" customHeight="1">
      <c r="A14" s="854"/>
      <c r="B14" s="855"/>
      <c r="C14" s="855"/>
      <c r="D14" s="855"/>
      <c r="E14" s="855"/>
      <c r="F14" s="855"/>
      <c r="G14" s="855"/>
      <c r="H14" s="855"/>
      <c r="I14" s="855"/>
      <c r="J14" s="855"/>
      <c r="K14" s="855"/>
      <c r="L14" s="855"/>
      <c r="M14" s="856"/>
      <c r="N14" s="860"/>
      <c r="O14" s="861"/>
      <c r="P14" s="861"/>
      <c r="Q14" s="861"/>
      <c r="R14" s="861"/>
      <c r="S14" s="861"/>
      <c r="T14" s="861"/>
      <c r="U14" s="861"/>
      <c r="V14" s="861"/>
      <c r="W14" s="861"/>
      <c r="X14" s="861"/>
      <c r="Y14" s="862"/>
    </row>
    <row r="15" spans="1:25" ht="16.5" customHeight="1">
      <c r="A15" s="436" t="s">
        <v>376</v>
      </c>
      <c r="B15" s="437"/>
      <c r="C15" s="438"/>
      <c r="D15" s="438"/>
      <c r="E15" s="438"/>
      <c r="F15" s="438"/>
      <c r="G15" s="438"/>
      <c r="H15" s="438"/>
      <c r="I15" s="438"/>
      <c r="J15" s="438"/>
      <c r="K15" s="439"/>
      <c r="L15" s="440"/>
      <c r="M15" s="441"/>
      <c r="N15" s="442" t="s">
        <v>377</v>
      </c>
      <c r="O15" s="443"/>
      <c r="P15" s="443"/>
      <c r="Q15" s="443"/>
      <c r="R15" s="443"/>
      <c r="S15" s="443"/>
      <c r="T15" s="443"/>
      <c r="U15" s="443"/>
      <c r="V15" s="443"/>
      <c r="W15" s="443"/>
      <c r="X15" s="443"/>
      <c r="Y15" s="444"/>
    </row>
    <row r="16" spans="1:25" ht="30" customHeight="1">
      <c r="A16" s="857" t="s">
        <v>508</v>
      </c>
      <c r="B16" s="858"/>
      <c r="C16" s="858"/>
      <c r="D16" s="858"/>
      <c r="E16" s="858"/>
      <c r="F16" s="858"/>
      <c r="G16" s="858"/>
      <c r="H16" s="858"/>
      <c r="I16" s="858"/>
      <c r="J16" s="858"/>
      <c r="K16" s="858"/>
      <c r="L16" s="858"/>
      <c r="M16" s="859"/>
      <c r="N16" s="857" t="s">
        <v>509</v>
      </c>
      <c r="O16" s="858"/>
      <c r="P16" s="858"/>
      <c r="Q16" s="858"/>
      <c r="R16" s="858"/>
      <c r="S16" s="858"/>
      <c r="T16" s="858"/>
      <c r="U16" s="858"/>
      <c r="V16" s="858"/>
      <c r="W16" s="858"/>
      <c r="X16" s="858"/>
      <c r="Y16" s="859"/>
    </row>
    <row r="17" spans="1:25" ht="15.75" thickBot="1">
      <c r="A17" s="863"/>
      <c r="B17" s="864"/>
      <c r="C17" s="864"/>
      <c r="D17" s="864"/>
      <c r="E17" s="864"/>
      <c r="F17" s="864"/>
      <c r="G17" s="864"/>
      <c r="H17" s="864"/>
      <c r="I17" s="864"/>
      <c r="J17" s="864"/>
      <c r="K17" s="864"/>
      <c r="L17" s="864"/>
      <c r="M17" s="865"/>
      <c r="N17" s="863"/>
      <c r="O17" s="864"/>
      <c r="P17" s="864"/>
      <c r="Q17" s="864"/>
      <c r="R17" s="864"/>
      <c r="S17" s="864"/>
      <c r="T17" s="864"/>
      <c r="U17" s="864"/>
      <c r="V17" s="864"/>
      <c r="W17" s="864"/>
      <c r="X17" s="864"/>
      <c r="Y17" s="865"/>
    </row>
    <row r="18" spans="1:25" ht="16.5" customHeight="1">
      <c r="A18" s="445" t="s">
        <v>73</v>
      </c>
      <c r="B18" s="434"/>
      <c r="C18" s="434"/>
      <c r="D18" s="434"/>
      <c r="E18" s="434"/>
      <c r="F18" s="434"/>
      <c r="G18" s="434"/>
      <c r="H18" s="434"/>
      <c r="I18" s="434"/>
      <c r="J18" s="434"/>
      <c r="K18" s="433"/>
      <c r="L18" s="431"/>
      <c r="M18" s="446"/>
      <c r="N18" s="866" t="s">
        <v>382</v>
      </c>
      <c r="O18" s="867"/>
      <c r="P18" s="867"/>
      <c r="Q18" s="867"/>
      <c r="R18" s="870"/>
      <c r="S18" s="870"/>
      <c r="T18" s="870"/>
      <c r="U18" s="870"/>
      <c r="V18" s="870"/>
      <c r="W18" s="870"/>
      <c r="X18" s="870"/>
      <c r="Y18" s="871"/>
    </row>
    <row r="19" spans="1:25" ht="15.75" thickBot="1">
      <c r="A19" s="455" t="s">
        <v>465</v>
      </c>
      <c r="B19" s="447"/>
      <c r="C19" s="447"/>
      <c r="D19" s="447"/>
      <c r="E19" s="447"/>
      <c r="F19" s="447" t="s">
        <v>510</v>
      </c>
      <c r="G19" s="447"/>
      <c r="H19" s="448"/>
      <c r="I19" s="448"/>
      <c r="J19" s="448"/>
      <c r="K19" s="449"/>
      <c r="L19" s="449"/>
      <c r="M19" s="450"/>
      <c r="N19" s="868"/>
      <c r="O19" s="869"/>
      <c r="P19" s="869"/>
      <c r="Q19" s="869"/>
      <c r="R19" s="864"/>
      <c r="S19" s="864"/>
      <c r="T19" s="864"/>
      <c r="U19" s="864"/>
      <c r="V19" s="892"/>
      <c r="W19" s="892"/>
      <c r="X19" s="892"/>
      <c r="Y19" s="893"/>
    </row>
    <row r="20" spans="1:25">
      <c r="A20" s="451"/>
      <c r="B20" s="443"/>
      <c r="C20" s="443"/>
      <c r="D20" s="443"/>
      <c r="E20" s="443"/>
      <c r="F20" s="443"/>
      <c r="G20" s="443"/>
      <c r="H20" s="439"/>
      <c r="I20" s="439"/>
      <c r="J20" s="439"/>
      <c r="K20" s="452"/>
      <c r="L20" s="452"/>
      <c r="M20" s="452"/>
      <c r="N20" s="452"/>
      <c r="O20" s="453"/>
      <c r="P20" s="453"/>
      <c r="Q20" s="453"/>
      <c r="R20" s="453"/>
      <c r="S20" s="453"/>
      <c r="T20" s="453"/>
      <c r="U20" s="453"/>
      <c r="V20" s="453"/>
      <c r="W20" s="453"/>
      <c r="X20" s="453"/>
      <c r="Y20" s="453"/>
    </row>
    <row r="21" spans="1:25" ht="15.75">
      <c r="A21" s="846" t="s">
        <v>74</v>
      </c>
      <c r="B21" s="846"/>
      <c r="C21" s="846"/>
      <c r="D21" s="846"/>
      <c r="E21" s="846"/>
      <c r="F21" s="846"/>
      <c r="G21" s="846"/>
      <c r="H21" s="846"/>
      <c r="I21" s="846"/>
      <c r="J21" s="846"/>
      <c r="K21" s="846"/>
      <c r="L21" s="846"/>
      <c r="M21" s="846"/>
      <c r="N21" s="846"/>
      <c r="O21" s="846"/>
      <c r="P21" s="846"/>
      <c r="Q21" s="846"/>
      <c r="R21" s="846"/>
      <c r="S21" s="846"/>
      <c r="T21" s="846"/>
      <c r="U21" s="846"/>
      <c r="V21" s="846"/>
      <c r="W21" s="846"/>
      <c r="X21" s="846"/>
      <c r="Y21" s="846"/>
    </row>
    <row r="22" spans="1:25">
      <c r="A22" s="454"/>
      <c r="B22" s="427"/>
      <c r="C22" s="847" t="s">
        <v>75</v>
      </c>
      <c r="D22" s="848"/>
      <c r="E22" s="848"/>
      <c r="F22" s="848"/>
      <c r="G22" s="848"/>
      <c r="H22" s="848"/>
      <c r="I22" s="848"/>
      <c r="J22" s="848"/>
      <c r="K22" s="849"/>
      <c r="L22" s="848" t="s">
        <v>76</v>
      </c>
      <c r="M22" s="848"/>
      <c r="N22" s="848"/>
      <c r="O22" s="848"/>
      <c r="P22" s="848"/>
      <c r="Q22" s="848"/>
      <c r="R22" s="849"/>
      <c r="S22" s="847" t="s">
        <v>77</v>
      </c>
      <c r="T22" s="848"/>
      <c r="U22" s="848"/>
      <c r="V22" s="848"/>
      <c r="W22" s="848"/>
      <c r="X22" s="848"/>
      <c r="Y22" s="849"/>
    </row>
    <row r="23" spans="1:25" ht="33.75" customHeight="1">
      <c r="A23" s="839" t="s">
        <v>78</v>
      </c>
      <c r="B23" s="850"/>
      <c r="C23" s="841" t="s">
        <v>511</v>
      </c>
      <c r="D23" s="842"/>
      <c r="E23" s="842"/>
      <c r="F23" s="842"/>
      <c r="G23" s="842"/>
      <c r="H23" s="842"/>
      <c r="I23" s="842"/>
      <c r="J23" s="842"/>
      <c r="K23" s="843"/>
      <c r="L23" s="842" t="s">
        <v>512</v>
      </c>
      <c r="M23" s="842"/>
      <c r="N23" s="842"/>
      <c r="O23" s="842"/>
      <c r="P23" s="842"/>
      <c r="Q23" s="842"/>
      <c r="R23" s="843"/>
      <c r="S23" s="841" t="s">
        <v>513</v>
      </c>
      <c r="T23" s="842"/>
      <c r="U23" s="842"/>
      <c r="V23" s="842"/>
      <c r="W23" s="842"/>
      <c r="X23" s="842"/>
      <c r="Y23" s="843"/>
    </row>
    <row r="24" spans="1:25" ht="57" customHeight="1">
      <c r="A24" s="844" t="s">
        <v>79</v>
      </c>
      <c r="B24" s="845"/>
      <c r="C24" s="841" t="s">
        <v>514</v>
      </c>
      <c r="D24" s="842"/>
      <c r="E24" s="842"/>
      <c r="F24" s="842"/>
      <c r="G24" s="842"/>
      <c r="H24" s="842"/>
      <c r="I24" s="842"/>
      <c r="J24" s="842"/>
      <c r="K24" s="843"/>
      <c r="L24" s="841" t="s">
        <v>515</v>
      </c>
      <c r="M24" s="842"/>
      <c r="N24" s="842"/>
      <c r="O24" s="842"/>
      <c r="P24" s="842"/>
      <c r="Q24" s="842"/>
      <c r="R24" s="843"/>
      <c r="S24" s="841" t="s">
        <v>516</v>
      </c>
      <c r="T24" s="842"/>
      <c r="U24" s="842"/>
      <c r="V24" s="842"/>
      <c r="W24" s="842"/>
      <c r="X24" s="842"/>
      <c r="Y24" s="843"/>
    </row>
    <row r="25" spans="1:25" ht="45" customHeight="1">
      <c r="A25" s="839" t="s">
        <v>81</v>
      </c>
      <c r="B25" s="840"/>
      <c r="C25" s="841" t="s">
        <v>495</v>
      </c>
      <c r="D25" s="842"/>
      <c r="E25" s="842"/>
      <c r="F25" s="842"/>
      <c r="G25" s="842"/>
      <c r="H25" s="842"/>
      <c r="I25" s="842"/>
      <c r="J25" s="842"/>
      <c r="K25" s="843"/>
      <c r="L25" s="841" t="s">
        <v>496</v>
      </c>
      <c r="M25" s="842"/>
      <c r="N25" s="842"/>
      <c r="O25" s="842"/>
      <c r="P25" s="842"/>
      <c r="Q25" s="842"/>
      <c r="R25" s="843"/>
      <c r="S25" s="841" t="s">
        <v>517</v>
      </c>
      <c r="T25" s="842"/>
      <c r="U25" s="842"/>
      <c r="V25" s="842"/>
      <c r="W25" s="842"/>
      <c r="X25" s="842"/>
      <c r="Y25" s="843"/>
    </row>
    <row r="26" spans="1:25" ht="45" customHeight="1">
      <c r="A26" s="839" t="s">
        <v>80</v>
      </c>
      <c r="B26" s="840"/>
      <c r="C26" s="841" t="s">
        <v>518</v>
      </c>
      <c r="D26" s="842"/>
      <c r="E26" s="842"/>
      <c r="F26" s="842"/>
      <c r="G26" s="842"/>
      <c r="H26" s="842"/>
      <c r="I26" s="842"/>
      <c r="J26" s="842"/>
      <c r="K26" s="843"/>
      <c r="L26" s="841" t="s">
        <v>519</v>
      </c>
      <c r="M26" s="842"/>
      <c r="N26" s="842"/>
      <c r="O26" s="842"/>
      <c r="P26" s="842"/>
      <c r="Q26" s="842"/>
      <c r="R26" s="843"/>
      <c r="S26" s="841" t="s">
        <v>520</v>
      </c>
      <c r="T26" s="842"/>
      <c r="U26" s="842"/>
      <c r="V26" s="842"/>
      <c r="W26" s="842"/>
      <c r="X26" s="842"/>
      <c r="Y26" s="843"/>
    </row>
    <row r="27" spans="1:25" ht="45" customHeight="1">
      <c r="A27" s="844" t="s">
        <v>335</v>
      </c>
      <c r="B27" s="845"/>
      <c r="C27" s="841" t="s">
        <v>521</v>
      </c>
      <c r="D27" s="842"/>
      <c r="E27" s="842"/>
      <c r="F27" s="842"/>
      <c r="G27" s="842"/>
      <c r="H27" s="842"/>
      <c r="I27" s="842"/>
      <c r="J27" s="842"/>
      <c r="K27" s="843"/>
      <c r="L27" s="841" t="s">
        <v>522</v>
      </c>
      <c r="M27" s="842"/>
      <c r="N27" s="842"/>
      <c r="O27" s="842"/>
      <c r="P27" s="842"/>
      <c r="Q27" s="842"/>
      <c r="R27" s="843"/>
      <c r="S27" s="841" t="s">
        <v>523</v>
      </c>
      <c r="T27" s="842"/>
      <c r="U27" s="842"/>
      <c r="V27" s="842"/>
      <c r="W27" s="842"/>
      <c r="X27" s="842"/>
      <c r="Y27" s="843"/>
    </row>
    <row r="30" spans="1:25">
      <c r="D30" s="394"/>
    </row>
    <row r="32" spans="1:25">
      <c r="I32" s="396"/>
      <c r="J32" s="396"/>
      <c r="K32" s="396"/>
    </row>
    <row r="33" spans="9:11" ht="15.75">
      <c r="I33" s="397"/>
      <c r="J33" s="398"/>
      <c r="K33" s="395"/>
    </row>
    <row r="34" spans="9:11">
      <c r="I34" s="396"/>
      <c r="J34" s="395"/>
    </row>
    <row r="35" spans="9:11">
      <c r="I35" s="396"/>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CF6A3-56EA-4B60-AA91-04FB709204FE}">
  <sheetPr>
    <tabColor theme="0"/>
  </sheetPr>
  <dimension ref="A1:Y35"/>
  <sheetViews>
    <sheetView zoomScale="85" zoomScaleNormal="85" workbookViewId="0">
      <selection activeCell="I7" sqref="I7"/>
    </sheetView>
  </sheetViews>
  <sheetFormatPr baseColWidth="10" defaultRowHeight="15"/>
  <cols>
    <col min="1" max="1" width="7.28515625" style="393" customWidth="1"/>
    <col min="2" max="10" width="6.5703125" style="393" customWidth="1"/>
    <col min="11" max="11" width="9.140625" style="393" customWidth="1"/>
    <col min="12" max="17" width="8.28515625" style="393" customWidth="1"/>
    <col min="18" max="25" width="8.5703125" style="393" customWidth="1"/>
    <col min="26" max="31" width="4.7109375" style="393" customWidth="1"/>
    <col min="32" max="16384" width="11.42578125" style="393"/>
  </cols>
  <sheetData>
    <row r="1" spans="1:25" ht="18" customHeight="1">
      <c r="A1" s="883" t="s">
        <v>525</v>
      </c>
      <c r="B1" s="402" t="s">
        <v>42</v>
      </c>
      <c r="C1" s="403"/>
      <c r="D1" s="403"/>
      <c r="E1" s="403"/>
      <c r="F1" s="403"/>
      <c r="G1" s="403"/>
      <c r="H1" s="403"/>
      <c r="I1" s="403"/>
      <c r="J1" s="403"/>
      <c r="K1" s="403"/>
      <c r="L1" s="403"/>
      <c r="M1" s="404"/>
      <c r="N1" s="410" t="s">
        <v>375</v>
      </c>
      <c r="O1" s="405"/>
      <c r="P1" s="405"/>
      <c r="Q1" s="405"/>
      <c r="R1" s="405"/>
      <c r="S1" s="405"/>
      <c r="T1" s="405"/>
      <c r="U1" s="405"/>
      <c r="V1" s="405"/>
      <c r="W1" s="405"/>
      <c r="X1" s="405"/>
      <c r="Y1" s="406"/>
    </row>
    <row r="2" spans="1:25" ht="20.25" customHeight="1" thickBot="1">
      <c r="A2" s="884"/>
      <c r="B2" s="885" t="str">
        <f>INDEX(Problématiques_compétences!$A$3:$D$118,QUOTIENT(MATCH(A1,Problématiques_compétences!$D$3:$D$118,0),8)*8+2,1)</f>
        <v>2) Franchir un obstacle</v>
      </c>
      <c r="C2" s="886"/>
      <c r="D2" s="886"/>
      <c r="E2" s="886"/>
      <c r="F2" s="886"/>
      <c r="G2" s="886"/>
      <c r="H2" s="886"/>
      <c r="I2" s="886"/>
      <c r="J2" s="886"/>
      <c r="K2" s="886"/>
      <c r="L2" s="886"/>
      <c r="M2" s="887"/>
      <c r="N2" s="407" t="str">
        <f>INDEX(Problématiques_compétences!$B$3:$D$118,MATCH(A1,Problématiques_compétences!$D$3:$D$118,0),1)</f>
        <v>Comment franchir un obstacle sans danger ?</v>
      </c>
      <c r="O2" s="408"/>
      <c r="P2" s="408"/>
      <c r="Q2" s="408"/>
      <c r="R2" s="408"/>
      <c r="S2" s="408"/>
      <c r="T2" s="408"/>
      <c r="U2" s="408"/>
      <c r="V2" s="408"/>
      <c r="W2" s="408"/>
      <c r="X2" s="408"/>
      <c r="Y2" s="409"/>
    </row>
    <row r="3" spans="1:25" ht="15.75" customHeight="1">
      <c r="A3" s="402" t="s">
        <v>55</v>
      </c>
      <c r="B3" s="411"/>
      <c r="C3" s="411"/>
      <c r="D3" s="411"/>
      <c r="E3" s="412"/>
      <c r="F3" s="411"/>
      <c r="G3" s="411"/>
      <c r="H3" s="412"/>
      <c r="I3" s="411"/>
      <c r="J3" s="411"/>
      <c r="K3" s="413" t="s">
        <v>71</v>
      </c>
      <c r="L3" s="414"/>
      <c r="M3" s="414"/>
      <c r="N3" s="414"/>
      <c r="O3" s="411"/>
      <c r="P3" s="411"/>
      <c r="Q3" s="411"/>
      <c r="R3" s="415" t="s">
        <v>344</v>
      </c>
      <c r="S3" s="411"/>
      <c r="T3" s="411"/>
      <c r="U3" s="411"/>
      <c r="V3" s="411"/>
      <c r="W3" s="411"/>
      <c r="X3" s="411"/>
      <c r="Y3" s="416"/>
    </row>
    <row r="4" spans="1:25" ht="32.25" customHeight="1">
      <c r="A4" s="42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1.2</v>
      </c>
      <c r="B4" s="872" t="str">
        <f ca="1">INDEX(Programme!$B$4:$C$46,MATCH(A4,Programme!$B$4:$B$46,0),2)</f>
        <v xml:space="preserve">► Mesurer des grandeurs de manière directe ou indirecte. </v>
      </c>
      <c r="C4" s="872"/>
      <c r="D4" s="872"/>
      <c r="E4" s="872"/>
      <c r="F4" s="872"/>
      <c r="G4" s="872"/>
      <c r="H4" s="872"/>
      <c r="I4" s="872"/>
      <c r="J4" s="872"/>
      <c r="K4" s="417" t="str">
        <f t="array" aca="1" ref="K4" ca="1">INDEX(Programme!$B$3:$G$46,MATCH($A$4,Programme!$B$3:$B$46,0),SMALL(IF(INDIRECT("Programme!D"&amp;MATCH($A$4,Programme!$B$1:$B$46,0)):INDIRECT("Programme!G"&amp;MATCH($A$4,Programme!$B$1:$B$46,0))&lt;&gt;"",COLUMN(Programme!$D$3:$G$3)-1),ROW()-3))</f>
        <v>MSOST.1.6</v>
      </c>
      <c r="L4" s="873" t="str">
        <f ca="1">IFERROR(INDEX(Programme!$I$7:$J$94,MATCH($K4,Programme!$I$7:$I$94,0),2),"")</f>
        <v xml:space="preserve">Mesurer des grandeurs de manière directe ou indirecte. </v>
      </c>
      <c r="M4" s="873"/>
      <c r="N4" s="873"/>
      <c r="O4" s="873"/>
      <c r="P4" s="873"/>
      <c r="Q4" s="878"/>
      <c r="R4" s="87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Instruments de mesure usuels. Principe de fonctionnement d’un capteur, d’un codeur, d’un détecteur. Nature du signal : analogique ou numérique. Nature d’une information : logique ou analogique.</v>
      </c>
      <c r="S4" s="873"/>
      <c r="T4" s="873"/>
      <c r="U4" s="873"/>
      <c r="V4" s="873"/>
      <c r="W4" s="873"/>
      <c r="X4" s="873"/>
      <c r="Y4" s="877"/>
    </row>
    <row r="5" spans="1:25" ht="32.25" customHeight="1">
      <c r="A5" s="418"/>
      <c r="B5" s="419"/>
      <c r="C5" s="419"/>
      <c r="D5" s="419"/>
      <c r="E5" s="420"/>
      <c r="F5" s="420"/>
      <c r="G5" s="420"/>
      <c r="H5" s="420"/>
      <c r="I5" s="420"/>
      <c r="J5" s="420"/>
      <c r="K5" s="421" t="str">
        <f t="array" aca="1" ref="K5" ca="1">IFERROR(INDEX(Programme!$B$3:$G$46,MATCH($A$4,Programme!$B$3:$B$46,0),SMALL(IF(INDIRECT("Programme!D"&amp;MATCH($A$4,Programme!$B$1:$B$46,0)):INDIRECT("Programme!G"&amp;MATCH($A$4,Programme!$B$1:$B$46,0))&lt;&gt;"",COLUMN(Programme!$D$3:$G$3)-1),ROW()-3)),"")</f>
        <v/>
      </c>
      <c r="L5" s="879" t="str">
        <f ca="1">IFERROR(INDEX(Programme!$I$7:$J$94,MATCH($K5,Programme!$I$7:$I$94,0),2),"")</f>
        <v/>
      </c>
      <c r="M5" s="879"/>
      <c r="N5" s="879"/>
      <c r="O5" s="879"/>
      <c r="P5" s="879"/>
      <c r="Q5" s="880"/>
      <c r="R5" s="881"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79"/>
      <c r="T5" s="879"/>
      <c r="U5" s="879"/>
      <c r="V5" s="879"/>
      <c r="W5" s="879"/>
      <c r="X5" s="879"/>
      <c r="Y5" s="882"/>
    </row>
    <row r="6" spans="1:25" ht="32.25" customHeight="1">
      <c r="A6" s="42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CS 1.6</v>
      </c>
      <c r="B6" s="872" t="str">
        <f ca="1">IFERROR(INDEX(Programme!$B$4:$C$46,MATCH(A6,Programme!$B$4:$B$46,0),2),"")</f>
        <v>► Analyser le fonctionnement et la structure d’un objet, identifier les entrées et sorties.</v>
      </c>
      <c r="C6" s="872"/>
      <c r="D6" s="872"/>
      <c r="E6" s="872"/>
      <c r="F6" s="872"/>
      <c r="G6" s="872"/>
      <c r="H6" s="872"/>
      <c r="I6" s="872"/>
      <c r="J6" s="872"/>
      <c r="K6" s="417" t="str">
        <f t="array" aca="1" ref="K6" ca="1">IFERROR(INDEX(Programme!$B$3:$G$46,MATCH($A$6,Programme!$B$3:$B$46,0),SMALL(IF(INDIRECT("Programme!D"&amp;MATCH($A$6,Programme!$B$1:$B$46,0)):INDIRECT("Programme!G"&amp;MATCH($A$6,Programme!$B$1:$B$46,0))&lt;&gt;"",COLUMN(Programme!$D$3:$G$3)-1),ROW()-5)),"")</f>
        <v>MSOST.1.3</v>
      </c>
      <c r="L6" s="873" t="str">
        <f ca="1">IFERROR(INDEX(Programme!$I$7:$J$94,MATCH($K6,Programme!$I$7:$I$94,0),2),"")</f>
        <v>Analyser le fonctionnement et la structure d’un objet, identifier les entrées et sorties.</v>
      </c>
      <c r="M6" s="873"/>
      <c r="N6" s="873"/>
      <c r="O6" s="873"/>
      <c r="P6" s="873"/>
      <c r="Q6" s="878"/>
      <c r="R6" s="87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Représentation fonctionnelle des systèmes. Structure des systèmes. Chaîne d’énergie.Chaîne d’information.</v>
      </c>
      <c r="S6" s="873"/>
      <c r="T6" s="873"/>
      <c r="U6" s="873"/>
      <c r="V6" s="873"/>
      <c r="W6" s="873"/>
      <c r="X6" s="873"/>
      <c r="Y6" s="877"/>
    </row>
    <row r="7" spans="1:25" ht="32.25" customHeight="1">
      <c r="A7" s="423"/>
      <c r="B7" s="425"/>
      <c r="C7" s="425"/>
      <c r="D7" s="425"/>
      <c r="E7" s="425"/>
      <c r="F7" s="425"/>
      <c r="G7" s="425"/>
      <c r="H7" s="425"/>
      <c r="I7" s="425"/>
      <c r="J7" s="425"/>
      <c r="K7" s="421" t="str">
        <f t="array" aca="1" ref="K7" ca="1">IFERROR(INDEX(Programme!$B$3:$G$46,MATCH($A$6,Programme!$B$3:$B$46,0),SMALL(IF(INDIRECT("Programme!D"&amp;MATCH($A$6,Programme!$B$1:$B$46,0)):INDIRECT("Programme!G"&amp;MATCH($A$6,Programme!$B$1:$B$46,0))&lt;&gt;"",COLUMN(Programme!$D$3:$G$3)-1),ROW()-5)),"")</f>
        <v/>
      </c>
      <c r="L7" s="879" t="str">
        <f ca="1">IFERROR(INDEX(Programme!$I$7:$J$94,MATCH($K7,Programme!$I$7:$I$94,0),2),"")</f>
        <v/>
      </c>
      <c r="M7" s="879"/>
      <c r="N7" s="879"/>
      <c r="O7" s="879"/>
      <c r="P7" s="879"/>
      <c r="Q7" s="880"/>
      <c r="R7" s="881"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79"/>
      <c r="T7" s="879"/>
      <c r="U7" s="879"/>
      <c r="V7" s="879"/>
      <c r="W7" s="879"/>
      <c r="X7" s="879"/>
      <c r="Y7" s="882"/>
    </row>
    <row r="8" spans="1:25" ht="32.25" customHeight="1">
      <c r="A8" s="42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CT 5.4</v>
      </c>
      <c r="B8" s="872" t="str">
        <f ca="1">IFERROR(INDEX(Programme!$B$4:$C$46,MATCH(A8,Programme!$B$4:$B$46,0),2),"")</f>
        <v>► Piloter un système connecté localement ou à distance.</v>
      </c>
      <c r="C8" s="872"/>
      <c r="D8" s="872"/>
      <c r="E8" s="872"/>
      <c r="F8" s="872"/>
      <c r="G8" s="872"/>
      <c r="H8" s="872"/>
      <c r="I8" s="872"/>
      <c r="J8" s="872"/>
      <c r="K8" s="417" t="str">
        <f t="array" aca="1" ref="K8" ca="1">IFERROR(INDEX(Programme!$B$3:$G$46,MATCH($A$8,Programme!$B$3:$B$46,0),SMALL(IF(INDIRECT("Programme!D"&amp;MATCH($A$8,Programme!$B$1:$B$46,0)):INDIRECT("Programme!G"&amp;MATCH($A$8,Programme!$B$1:$B$46,0))&lt;&gt;"",COLUMN(Programme!$D$3:$G$3)-1),ROW()-7)),"")</f>
        <v>IP.2.2</v>
      </c>
      <c r="L8" s="873" t="str">
        <f ca="1">IFERROR(INDEX(Programme!$I$7:$J$94,MATCH($K8,Programme!$I$7:$I$94,0),2),"")</f>
        <v>Écrire, mettre au point (tester, corriger) et exécuter un programme commandant un système réel et vérifier le comportement attendu.</v>
      </c>
      <c r="M8" s="873"/>
      <c r="N8" s="873"/>
      <c r="O8" s="873"/>
      <c r="P8" s="873"/>
      <c r="Q8" s="878"/>
      <c r="R8" s="87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73"/>
      <c r="T8" s="873"/>
      <c r="U8" s="873"/>
      <c r="V8" s="873"/>
      <c r="W8" s="873"/>
      <c r="X8" s="873"/>
      <c r="Y8" s="877"/>
    </row>
    <row r="9" spans="1:25" ht="32.25" customHeight="1">
      <c r="A9" s="424"/>
      <c r="B9" s="426"/>
      <c r="C9" s="426"/>
      <c r="D9" s="426"/>
      <c r="E9" s="426"/>
      <c r="F9" s="426"/>
      <c r="G9" s="426"/>
      <c r="H9" s="426"/>
      <c r="I9" s="426"/>
      <c r="J9" s="426"/>
      <c r="K9" s="421" t="str">
        <f t="array" aca="1" ref="K9" ca="1">IFERROR(INDEX(Programme!$B$3:$G$46,MATCH($A$8,Programme!$B$3:$B$46,0),SMALL(IF(INDIRECT("Programme!D"&amp;MATCH($A$8,Programme!$B$1:$B$46,0)):INDIRECT("Programme!G"&amp;MATCH($A$8,Programme!$B$1:$B$46,0))&lt;&gt;"",COLUMN(Programme!$D$3:$G$3)-1),ROW()-7)),"")</f>
        <v/>
      </c>
      <c r="L9" s="879" t="str">
        <f ca="1">IFERROR(INDEX(Programme!$I$7:$J$94,MATCH($K9,Programme!$I$7:$I$94,0),2),"")</f>
        <v/>
      </c>
      <c r="M9" s="879"/>
      <c r="N9" s="879"/>
      <c r="O9" s="879"/>
      <c r="P9" s="879"/>
      <c r="Q9" s="880"/>
      <c r="R9" s="881"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79"/>
      <c r="T9" s="879"/>
      <c r="U9" s="879"/>
      <c r="V9" s="879"/>
      <c r="W9" s="879"/>
      <c r="X9" s="879"/>
      <c r="Y9" s="882"/>
    </row>
    <row r="10" spans="1:25" ht="32.25" customHeight="1">
      <c r="A10" s="42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CT 5.5</v>
      </c>
      <c r="B10" s="872" t="str">
        <f ca="1">IFERROR(INDEX(Programme!$B$4:$C$46,MATCH(A10,Programme!$B$4:$B$46,0),2),"")</f>
        <v>► Modifier ou paramétrer le fonctionnement d’un objet communicant.</v>
      </c>
      <c r="C10" s="872"/>
      <c r="D10" s="872"/>
      <c r="E10" s="872"/>
      <c r="F10" s="872"/>
      <c r="G10" s="872"/>
      <c r="H10" s="872"/>
      <c r="I10" s="872"/>
      <c r="J10" s="872"/>
      <c r="K10" s="417" t="str">
        <f t="array" aca="1" ref="K10" ca="1">IFERROR(INDEX(Programme!$B$3:$G$46,MATCH($A$10,Programme!$B$3:$B$46,0),SMALL(IF(INDIRECT("Programme!D"&amp;MATCH($A$10,Programme!$B$1:$B$46,0)):INDIRECT("Programme!G"&amp;MATCH($A$10,Programme!$B$1:$B$46,0))&lt;&gt;"",COLUMN(Programme!$D$3:$G$3)-1),ROW()-9)),"")</f>
        <v>IP.2.3</v>
      </c>
      <c r="L10" s="873" t="str">
        <f ca="1">IFERROR(INDEX(Programme!$I$7:$J$94,MATCH($K10,Programme!$I$7:$I$94,0),2),"")</f>
        <v>Écrire un programme dans lequel des actions sont déclenchées par des événements extérieurs.</v>
      </c>
      <c r="M10" s="873"/>
      <c r="N10" s="873"/>
      <c r="O10" s="873"/>
      <c r="P10" s="873"/>
      <c r="Q10" s="878"/>
      <c r="R10" s="87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S10" s="873"/>
      <c r="T10" s="873"/>
      <c r="U10" s="873"/>
      <c r="V10" s="873"/>
      <c r="W10" s="873"/>
      <c r="X10" s="873"/>
      <c r="Y10" s="877"/>
    </row>
    <row r="11" spans="1:25" ht="32.25" customHeight="1" thickBot="1">
      <c r="A11" s="422"/>
      <c r="B11" s="872"/>
      <c r="C11" s="872"/>
      <c r="D11" s="872"/>
      <c r="E11" s="872"/>
      <c r="F11" s="872"/>
      <c r="G11" s="872"/>
      <c r="H11" s="872"/>
      <c r="I11" s="872"/>
      <c r="J11" s="872"/>
      <c r="K11" s="417" t="str">
        <f t="array" aca="1" ref="K11" ca="1">IFERROR(INDEX(Programme!$B$3:$G$46,MATCH($A$10,Programme!$B$3:$B$46,0),SMALL(IF(INDIRECT("Programme!D"&amp;MATCH($A$10,Programme!$B$1:$B$46,0)):INDIRECT("Programme!G"&amp;MATCH($A$10,Programme!$B$1:$B$46,0))&lt;&gt;"",COLUMN(Programme!$D$3:$G$3)-1),ROW()-9)),"")</f>
        <v/>
      </c>
      <c r="L11" s="873" t="str">
        <f ca="1">IFERROR(INDEX(Programme!$I$7:$J$94,MATCH($K11,Programme!$I$7:$I$94,0),2),"")</f>
        <v/>
      </c>
      <c r="M11" s="873"/>
      <c r="N11" s="874"/>
      <c r="O11" s="874"/>
      <c r="P11" s="874"/>
      <c r="Q11" s="875"/>
      <c r="R11" s="87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73"/>
      <c r="T11" s="873"/>
      <c r="U11" s="873"/>
      <c r="V11" s="873"/>
      <c r="W11" s="873"/>
      <c r="X11" s="873"/>
      <c r="Y11" s="877"/>
    </row>
    <row r="12" spans="1:25" ht="16.5" customHeight="1">
      <c r="A12" s="458" t="s">
        <v>70</v>
      </c>
      <c r="B12" s="459"/>
      <c r="C12" s="459"/>
      <c r="D12" s="459"/>
      <c r="E12" s="459"/>
      <c r="F12" s="459"/>
      <c r="G12" s="459"/>
      <c r="H12" s="459"/>
      <c r="I12" s="459"/>
      <c r="J12" s="459"/>
      <c r="K12" s="430"/>
      <c r="L12" s="460"/>
      <c r="M12" s="432"/>
      <c r="N12" s="461" t="s">
        <v>72</v>
      </c>
      <c r="O12" s="462"/>
      <c r="P12" s="462"/>
      <c r="Q12" s="462"/>
      <c r="R12" s="462"/>
      <c r="S12" s="462"/>
      <c r="T12" s="462"/>
      <c r="U12" s="462"/>
      <c r="V12" s="462"/>
      <c r="W12" s="462"/>
      <c r="X12" s="462"/>
      <c r="Y12" s="463"/>
    </row>
    <row r="13" spans="1:25" ht="30.75" customHeight="1">
      <c r="A13" s="894" t="s">
        <v>526</v>
      </c>
      <c r="B13" s="894"/>
      <c r="C13" s="894"/>
      <c r="D13" s="894"/>
      <c r="E13" s="894"/>
      <c r="F13" s="894"/>
      <c r="G13" s="894"/>
      <c r="H13" s="894"/>
      <c r="I13" s="894"/>
      <c r="J13" s="894"/>
      <c r="K13" s="894"/>
      <c r="L13" s="894"/>
      <c r="M13" s="894"/>
      <c r="N13" s="894" t="s">
        <v>527</v>
      </c>
      <c r="O13" s="894"/>
      <c r="P13" s="894"/>
      <c r="Q13" s="894"/>
      <c r="R13" s="894"/>
      <c r="S13" s="894"/>
      <c r="T13" s="894"/>
      <c r="U13" s="894"/>
      <c r="V13" s="894"/>
      <c r="W13" s="894"/>
      <c r="X13" s="894"/>
      <c r="Y13" s="894"/>
    </row>
    <row r="14" spans="1:25" ht="30.75" customHeight="1">
      <c r="A14" s="894"/>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row>
    <row r="15" spans="1:25" ht="16.5" customHeight="1">
      <c r="A15" s="464" t="s">
        <v>376</v>
      </c>
      <c r="B15" s="465"/>
      <c r="C15" s="466"/>
      <c r="D15" s="466"/>
      <c r="E15" s="466"/>
      <c r="F15" s="466"/>
      <c r="G15" s="466"/>
      <c r="H15" s="466"/>
      <c r="I15" s="466"/>
      <c r="J15" s="466"/>
      <c r="K15" s="439"/>
      <c r="L15" s="467"/>
      <c r="M15" s="441"/>
      <c r="N15" s="468" t="s">
        <v>377</v>
      </c>
      <c r="O15" s="469"/>
      <c r="P15" s="469"/>
      <c r="Q15" s="469"/>
      <c r="R15" s="469"/>
      <c r="S15" s="469"/>
      <c r="T15" s="469"/>
      <c r="U15" s="469"/>
      <c r="V15" s="469"/>
      <c r="W15" s="469"/>
      <c r="X15" s="469"/>
      <c r="Y15" s="470"/>
    </row>
    <row r="16" spans="1:25" ht="30" customHeight="1" thickBot="1">
      <c r="A16" s="895" t="s">
        <v>528</v>
      </c>
      <c r="B16" s="895"/>
      <c r="C16" s="895"/>
      <c r="D16" s="895"/>
      <c r="E16" s="895"/>
      <c r="F16" s="895"/>
      <c r="G16" s="895"/>
      <c r="H16" s="895"/>
      <c r="I16" s="895"/>
      <c r="J16" s="895"/>
      <c r="K16" s="895"/>
      <c r="L16" s="895"/>
      <c r="M16" s="895"/>
      <c r="N16" s="895" t="s">
        <v>529</v>
      </c>
      <c r="O16" s="895"/>
      <c r="P16" s="895"/>
      <c r="Q16" s="895"/>
      <c r="R16" s="895"/>
      <c r="S16" s="895"/>
      <c r="T16" s="895"/>
      <c r="U16" s="895"/>
      <c r="V16" s="895"/>
      <c r="W16" s="895"/>
      <c r="X16" s="895"/>
      <c r="Y16" s="895"/>
    </row>
    <row r="17" spans="1:25" ht="30" customHeight="1" thickBot="1">
      <c r="A17" s="895"/>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row>
    <row r="18" spans="1:25" ht="16.5" customHeight="1" thickBot="1">
      <c r="A18" s="471" t="s">
        <v>73</v>
      </c>
      <c r="B18" s="462"/>
      <c r="C18" s="462"/>
      <c r="D18" s="462"/>
      <c r="E18" s="462"/>
      <c r="F18" s="462"/>
      <c r="G18" s="462"/>
      <c r="H18" s="462"/>
      <c r="I18" s="462"/>
      <c r="J18" s="462"/>
      <c r="K18" s="461"/>
      <c r="L18" s="460"/>
      <c r="M18" s="472"/>
      <c r="N18" s="896" t="s">
        <v>382</v>
      </c>
      <c r="O18" s="896"/>
      <c r="P18" s="896"/>
      <c r="Q18" s="896"/>
      <c r="R18" s="897" t="s">
        <v>530</v>
      </c>
      <c r="S18" s="897"/>
      <c r="T18" s="897"/>
      <c r="U18" s="897"/>
      <c r="V18" s="898"/>
      <c r="W18" s="898"/>
      <c r="X18" s="898"/>
      <c r="Y18" s="898"/>
    </row>
    <row r="19" spans="1:25" ht="24.75" customHeight="1" thickBot="1">
      <c r="A19" s="473" t="s">
        <v>465</v>
      </c>
      <c r="B19" s="474"/>
      <c r="C19" s="474"/>
      <c r="D19" s="474"/>
      <c r="E19" s="474"/>
      <c r="F19" s="474"/>
      <c r="G19" s="474"/>
      <c r="H19" s="448"/>
      <c r="I19" s="448"/>
      <c r="J19" s="448"/>
      <c r="K19" s="475"/>
      <c r="L19" s="475"/>
      <c r="M19" s="476"/>
      <c r="N19" s="896"/>
      <c r="O19" s="896"/>
      <c r="P19" s="896"/>
      <c r="Q19" s="896"/>
      <c r="R19" s="899"/>
      <c r="S19" s="899"/>
      <c r="T19" s="899"/>
      <c r="U19" s="899"/>
      <c r="V19" s="900"/>
      <c r="W19" s="900"/>
      <c r="X19" s="900"/>
      <c r="Y19" s="900"/>
    </row>
    <row r="20" spans="1:25">
      <c r="A20" s="477"/>
      <c r="B20" s="469"/>
      <c r="C20" s="469"/>
      <c r="D20" s="469"/>
      <c r="E20" s="469"/>
      <c r="F20" s="469"/>
      <c r="G20" s="469"/>
      <c r="H20" s="439"/>
      <c r="I20" s="439"/>
      <c r="J20" s="439"/>
      <c r="K20" s="478"/>
      <c r="L20" s="478"/>
      <c r="M20" s="478"/>
      <c r="N20" s="478"/>
      <c r="O20" s="479"/>
      <c r="P20" s="479"/>
      <c r="Q20" s="479"/>
      <c r="R20" s="479"/>
      <c r="S20" s="479"/>
      <c r="T20" s="479"/>
      <c r="U20" s="479"/>
      <c r="V20" s="479"/>
      <c r="W20" s="479"/>
      <c r="X20" s="479"/>
      <c r="Y20" s="479"/>
    </row>
    <row r="21" spans="1:25" ht="15.75">
      <c r="A21" s="901" t="s">
        <v>74</v>
      </c>
      <c r="B21" s="901"/>
      <c r="C21" s="901"/>
      <c r="D21" s="901"/>
      <c r="E21" s="901"/>
      <c r="F21" s="901"/>
      <c r="G21" s="901"/>
      <c r="H21" s="901"/>
      <c r="I21" s="901"/>
      <c r="J21" s="901"/>
      <c r="K21" s="901"/>
      <c r="L21" s="901"/>
      <c r="M21" s="901"/>
      <c r="N21" s="901"/>
      <c r="O21" s="901"/>
      <c r="P21" s="901"/>
      <c r="Q21" s="901"/>
      <c r="R21" s="901"/>
      <c r="S21" s="901"/>
      <c r="T21" s="901"/>
      <c r="U21" s="901"/>
      <c r="V21" s="901"/>
      <c r="W21" s="901"/>
      <c r="X21" s="901"/>
      <c r="Y21" s="901"/>
    </row>
    <row r="22" spans="1:25">
      <c r="A22" s="480"/>
      <c r="B22" s="427"/>
      <c r="C22" s="902" t="s">
        <v>75</v>
      </c>
      <c r="D22" s="902"/>
      <c r="E22" s="902"/>
      <c r="F22" s="902"/>
      <c r="G22" s="902"/>
      <c r="H22" s="902"/>
      <c r="I22" s="902"/>
      <c r="J22" s="902"/>
      <c r="K22" s="902"/>
      <c r="L22" s="903" t="s">
        <v>76</v>
      </c>
      <c r="M22" s="903"/>
      <c r="N22" s="903"/>
      <c r="O22" s="903"/>
      <c r="P22" s="903"/>
      <c r="Q22" s="903"/>
      <c r="R22" s="903"/>
      <c r="S22" s="902" t="s">
        <v>77</v>
      </c>
      <c r="T22" s="902"/>
      <c r="U22" s="902"/>
      <c r="V22" s="902"/>
      <c r="W22" s="902"/>
      <c r="X22" s="902"/>
      <c r="Y22" s="902"/>
    </row>
    <row r="23" spans="1:25" ht="33.75" customHeight="1">
      <c r="A23" s="904" t="s">
        <v>78</v>
      </c>
      <c r="B23" s="904"/>
      <c r="C23" s="905" t="s">
        <v>531</v>
      </c>
      <c r="D23" s="905"/>
      <c r="E23" s="905"/>
      <c r="F23" s="905"/>
      <c r="G23" s="905"/>
      <c r="H23" s="905"/>
      <c r="I23" s="905"/>
      <c r="J23" s="905"/>
      <c r="K23" s="905"/>
      <c r="L23" s="906" t="s">
        <v>532</v>
      </c>
      <c r="M23" s="906"/>
      <c r="N23" s="906"/>
      <c r="O23" s="906"/>
      <c r="P23" s="906"/>
      <c r="Q23" s="906"/>
      <c r="R23" s="906"/>
      <c r="S23" s="905" t="s">
        <v>532</v>
      </c>
      <c r="T23" s="905"/>
      <c r="U23" s="905"/>
      <c r="V23" s="905"/>
      <c r="W23" s="905"/>
      <c r="X23" s="905"/>
      <c r="Y23" s="905"/>
    </row>
    <row r="24" spans="1:25" ht="243" customHeight="1">
      <c r="A24" s="907" t="s">
        <v>79</v>
      </c>
      <c r="B24" s="907"/>
      <c r="C24" s="905" t="s">
        <v>533</v>
      </c>
      <c r="D24" s="905"/>
      <c r="E24" s="905"/>
      <c r="F24" s="905"/>
      <c r="G24" s="905"/>
      <c r="H24" s="905"/>
      <c r="I24" s="905"/>
      <c r="J24" s="905"/>
      <c r="K24" s="905"/>
      <c r="L24" s="905" t="s">
        <v>534</v>
      </c>
      <c r="M24" s="905"/>
      <c r="N24" s="905"/>
      <c r="O24" s="905"/>
      <c r="P24" s="905"/>
      <c r="Q24" s="905"/>
      <c r="R24" s="905"/>
      <c r="S24" s="905" t="s">
        <v>535</v>
      </c>
      <c r="T24" s="905"/>
      <c r="U24" s="905"/>
      <c r="V24" s="905"/>
      <c r="W24" s="905"/>
      <c r="X24" s="905"/>
      <c r="Y24" s="905"/>
    </row>
    <row r="25" spans="1:25" ht="45" customHeight="1">
      <c r="A25" s="908" t="s">
        <v>81</v>
      </c>
      <c r="B25" s="908"/>
      <c r="C25" s="905" t="s">
        <v>536</v>
      </c>
      <c r="D25" s="905"/>
      <c r="E25" s="905"/>
      <c r="F25" s="905"/>
      <c r="G25" s="905"/>
      <c r="H25" s="905"/>
      <c r="I25" s="905"/>
      <c r="J25" s="905"/>
      <c r="K25" s="905"/>
      <c r="L25" s="905" t="s">
        <v>537</v>
      </c>
      <c r="M25" s="905"/>
      <c r="N25" s="905"/>
      <c r="O25" s="905"/>
      <c r="P25" s="905"/>
      <c r="Q25" s="905"/>
      <c r="R25" s="905"/>
      <c r="S25" s="905" t="s">
        <v>538</v>
      </c>
      <c r="T25" s="905"/>
      <c r="U25" s="905"/>
      <c r="V25" s="905"/>
      <c r="W25" s="905"/>
      <c r="X25" s="905"/>
      <c r="Y25" s="905"/>
    </row>
    <row r="26" spans="1:25" ht="45" customHeight="1">
      <c r="A26" s="908" t="s">
        <v>80</v>
      </c>
      <c r="B26" s="908"/>
      <c r="C26" s="905" t="s">
        <v>539</v>
      </c>
      <c r="D26" s="905"/>
      <c r="E26" s="905"/>
      <c r="F26" s="905"/>
      <c r="G26" s="905"/>
      <c r="H26" s="905"/>
      <c r="I26" s="905"/>
      <c r="J26" s="905"/>
      <c r="K26" s="905"/>
      <c r="L26" s="905" t="s">
        <v>540</v>
      </c>
      <c r="M26" s="905"/>
      <c r="N26" s="905"/>
      <c r="O26" s="905"/>
      <c r="P26" s="905"/>
      <c r="Q26" s="905"/>
      <c r="R26" s="905"/>
      <c r="S26" s="905" t="s">
        <v>541</v>
      </c>
      <c r="T26" s="905"/>
      <c r="U26" s="905"/>
      <c r="V26" s="905"/>
      <c r="W26" s="905"/>
      <c r="X26" s="905"/>
      <c r="Y26" s="905"/>
    </row>
    <row r="27" spans="1:25" ht="45" customHeight="1">
      <c r="A27" s="907" t="s">
        <v>542</v>
      </c>
      <c r="B27" s="907"/>
      <c r="C27" s="905" t="s">
        <v>543</v>
      </c>
      <c r="D27" s="905"/>
      <c r="E27" s="905"/>
      <c r="F27" s="905"/>
      <c r="G27" s="905"/>
      <c r="H27" s="905"/>
      <c r="I27" s="905"/>
      <c r="J27" s="905"/>
      <c r="K27" s="905"/>
      <c r="L27" s="905" t="s">
        <v>544</v>
      </c>
      <c r="M27" s="905"/>
      <c r="N27" s="905"/>
      <c r="O27" s="905"/>
      <c r="P27" s="905"/>
      <c r="Q27" s="905"/>
      <c r="R27" s="905"/>
      <c r="S27" s="905" t="s">
        <v>544</v>
      </c>
      <c r="T27" s="905"/>
      <c r="U27" s="905"/>
      <c r="V27" s="905"/>
      <c r="W27" s="905"/>
      <c r="X27" s="905"/>
      <c r="Y27" s="905"/>
    </row>
    <row r="30" spans="1:25">
      <c r="D30" s="394"/>
    </row>
    <row r="32" spans="1:25">
      <c r="I32" s="396"/>
      <c r="J32" s="396"/>
      <c r="K32" s="396"/>
    </row>
    <row r="33" spans="9:11" ht="15.75">
      <c r="I33" s="397"/>
      <c r="J33" s="398"/>
      <c r="K33" s="395"/>
    </row>
    <row r="34" spans="9:11">
      <c r="I34" s="396"/>
      <c r="J34" s="395"/>
    </row>
    <row r="35" spans="9:11">
      <c r="I35" s="396"/>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Feuilles de calcul</vt:lpstr>
      </vt:variant>
      <vt:variant>
        <vt:i4>36</vt:i4>
      </vt:variant>
    </vt:vector>
  </HeadingPairs>
  <TitlesOfParts>
    <vt:vector size="36" baseType="lpstr">
      <vt:lpstr>Contexte de l'enseignement</vt:lpstr>
      <vt:lpstr>Notice</vt:lpstr>
      <vt:lpstr>Programme</vt:lpstr>
      <vt:lpstr>Problématiques_compétences</vt:lpstr>
      <vt:lpstr>Progression_Cycle4</vt:lpstr>
      <vt:lpstr>Générateur de séquences</vt:lpstr>
      <vt:lpstr>S1</vt:lpstr>
      <vt:lpstr>S2</vt:lpstr>
      <vt:lpstr>S3</vt:lpstr>
      <vt:lpstr>S4</vt:lpstr>
      <vt:lpstr>S5</vt:lpstr>
      <vt:lpstr>S6</vt:lpstr>
      <vt:lpstr>S7</vt:lpstr>
      <vt:lpstr>S8</vt:lpstr>
      <vt:lpstr>S9</vt:lpstr>
      <vt:lpstr>S10</vt:lpstr>
      <vt:lpstr>S11</vt:lpstr>
      <vt:lpstr>S12</vt:lpstr>
      <vt:lpstr>S13</vt:lpstr>
      <vt:lpstr>S14</vt:lpstr>
      <vt:lpstr>S15</vt:lpstr>
      <vt:lpstr>S16</vt:lpstr>
      <vt:lpstr>S17</vt:lpstr>
      <vt:lpstr>S18</vt:lpstr>
      <vt:lpstr>S19</vt:lpstr>
      <vt:lpstr>S20</vt:lpstr>
      <vt:lpstr>S21</vt:lpstr>
      <vt:lpstr>S22</vt:lpstr>
      <vt:lpstr>S23</vt:lpstr>
      <vt:lpstr>S24</vt:lpstr>
      <vt:lpstr>S25</vt:lpstr>
      <vt:lpstr>S26</vt:lpstr>
      <vt:lpstr>S27</vt:lpstr>
      <vt:lpstr>S28</vt:lpstr>
      <vt:lpstr>S29</vt:lpstr>
      <vt:lpstr>S30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pclaunay</dc:creator>
  <cp:lastModifiedBy>pascal.roussel</cp:lastModifiedBy>
  <cp:revision>44</cp:revision>
  <cp:lastPrinted>2016-04-26T16:31:45Z</cp:lastPrinted>
  <dcterms:created xsi:type="dcterms:W3CDTF">2015-11-08T10:15:20Z</dcterms:created>
  <dcterms:modified xsi:type="dcterms:W3CDTF">2018-07-09T08:34:17Z</dcterms:modified>
</cp:coreProperties>
</file>